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3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'07'!$A$1:$T$75</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<sst xmlns="http://schemas.openxmlformats.org/spreadsheetml/2006/main" count="1094" uniqueCount="488">
  <si>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</si>
  <si>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</si>
  <si>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</si>
  <si>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</si>
  <si>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</si>
  <si>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</si>
  <si>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</si>
  <si>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</si>
  <si>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</si>
  <si>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</si>
  <si>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</si>
  <si>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</si>
  <si>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</si>
  <si>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</si>
  <si>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</si>
  <si>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</si>
  <si>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</si>
  <si>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</si>
  <si>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</si>
  <si>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</si>
  <si>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</si>
  <si>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</si>
  <si>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</si>
  <si>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</si>
  <si>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</si>
  <si>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</si>
  <si>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</si>
  <si>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</si>
  <si>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</si>
  <si>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</si>
  <si>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</si>
  <si>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</si>
  <si>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</si>
  <si>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</si>
  <si>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</si>
  <si>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</si>
  <si>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</si>
  <si>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</si>
  <si>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</si>
  <si>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</si>
  <si>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</si>
  <si>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</si>
  <si>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</si>
  <si>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</si>
  <si>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</si>
  <si>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</si>
  <si>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</si>
  <si>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</si>
  <si>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</si>
  <si>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</si>
  <si>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</si>
  <si>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</si>
  <si>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</si>
  <si>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</si>
  <si>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</si>
  <si>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</si>
  <si>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</si>
  <si>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</si>
  <si>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</si>
  <si>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</si>
  <si>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</si>
  <si>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</si>
  <si>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</si>
  <si>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</si>
  <si>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</si>
  <si>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</si>
  <si>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</si>
  <si>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</si>
  <si>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</si>
  <si>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</si>
  <si>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</si>
  <si>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</si>
  <si>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</si>
  <si>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</si>
  <si>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</si>
  <si>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</si>
  <si>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</si>
  <si>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</si>
  <si>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</si>
  <si>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</si>
  <si>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</si>
  <si>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</si>
  <si>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</si>
  <si>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</si>
  <si>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</si>
  <si>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</si>
  <si>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</si>
  <si>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</si>
  <si>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</si>
  <si>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</si>
  <si>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</si>
  <si>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</si>
  <si>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</si>
  <si>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</si>
  <si>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</si>
  <si>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</si>
  <si>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</si>
  <si>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</si>
  <si>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</si>
  <si>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</si>
  <si>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</si>
  <si>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</si>
  <si>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</si>
  <si>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</si>
  <si>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</si>
  <si>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</si>
  <si>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</si>
  <si>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</si>
  <si>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</si>
  <si>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</si>
  <si>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</si>
  <si>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</si>
  <si>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</si>
  <si>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</si>
  <si>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</si>
  <si>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</si>
  <si>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</si>
  <si>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</si>
  <si>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</si>
  <si>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</si>
  <si>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</si>
  <si>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</si>
  <si>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</si>
  <si>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</si>
  <si>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</si>
  <si>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</si>
  <si>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</si>
  <si>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</si>
  <si>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</si>
  <si>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</si>
  <si>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</si>
  <si>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</si>
  <si>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</si>
  <si>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</si>
  <si>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</si>
  <si>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</si>
  <si>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</si>
  <si>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</si>
  <si>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</si>
  <si>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</si>
  <si>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</si>
  <si>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</si>
  <si>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</si>
  <si>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</si>
  <si>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</si>
  <si>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</si>
  <si>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</si>
  <si>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</si>
  <si>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</si>
  <si>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</si>
  <si>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</si>
  <si>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</si>
  <si>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</si>
  <si>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</si>
  <si>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</si>
  <si>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</si>
  <si>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</si>
  <si>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</si>
  <si>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</si>
  <si>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</si>
  <si>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</si>
  <si>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</si>
  <si>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</si>
  <si>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</si>
  <si>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</si>
  <si>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</si>
  <si>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</si>
  <si>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</si>
  <si>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</si>
  <si>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</si>
  <si>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</si>
  <si>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</si>
  <si>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</si>
  <si>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</si>
  <si>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</si>
  <si>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</si>
  <si>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</si>
  <si>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</si>
  <si>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</si>
  <si>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</si>
  <si>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</si>
  <si>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</si>
  <si>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</si>
  <si>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</si>
  <si>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</si>
  <si>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</si>
  <si>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</si>
  <si>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</si>
  <si>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</si>
  <si>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</si>
  <si>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</si>
  <si>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</si>
  <si>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</si>
  <si>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</si>
  <si>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</si>
  <si>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</si>
  <si>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</si>
  <si>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</si>
  <si>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</si>
  <si>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</si>
  <si>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</si>
  <si>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</si>
  <si>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</si>
  <si>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</si>
  <si>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</si>
  <si>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</si>
  <si>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</si>
  <si>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</si>
  <si>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</si>
  <si>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</si>
  <si>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</si>
  <si>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</si>
  <si>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</si>
  <si>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</si>
  <si>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</si>
  <si>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</si>
  <si>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</si>
  <si>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</si>
  <si>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</si>
  <si>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</si>
  <si>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</si>
  <si>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</si>
  <si>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</si>
  <si>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</si>
  <si>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</si>
  <si>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</si>
  <si>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</si>
  <si>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</si>
  <si>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</si>
  <si>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</si>
  <si>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</si>
  <si>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</si>
  <si>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</si>
  <si>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</si>
  <si>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</si>
  <si>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</si>
  <si>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</si>
  <si>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</si>
  <si>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</si>
  <si>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</si>
  <si>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</si>
  <si>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</si>
  <si>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</si>
  <si>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</si>
  <si>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</si>
  <si>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</si>
  <si>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</si>
  <si>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</si>
  <si>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</si>
  <si>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</si>
  <si>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</si>
  <si>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</si>
  <si>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</si>
  <si>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</si>
  <si>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</si>
  <si>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</si>
  <si>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</si>
  <si>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</si>
  <si>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</si>
  <si>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</si>
  <si>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</si>
  <si>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</si>
  <si>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</si>
  <si>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</si>
  <si>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</si>
  <si>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</si>
  <si>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</si>
  <si>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</si>
  <si>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</si>
  <si>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</si>
  <si>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</si>
  <si>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</si>
  <si>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</si>
  <si>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</si>
  <si>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</si>
  <si>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</si>
  <si>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</si>
  <si>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</si>
  <si>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</si>
  <si>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</si>
  <si>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</si>
  <si>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</si>
  <si>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</si>
  <si>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</si>
  <si>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</si>
  <si>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</si>
  <si>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</si>
  <si>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</si>
  <si>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</si>
  <si>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</si>
  <si>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</si>
  <si>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</si>
  <si>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</si>
  <si>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</si>
  <si>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</si>
  <si>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</si>
  <si>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</si>
  <si>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</si>
  <si>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</si>
  <si>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</si>
  <si>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</si>
  <si>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</si>
  <si>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</si>
  <si>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</si>
  <si>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</si>
  <si>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</si>
  <si>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</si>
  <si>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</si>
  <si>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</si>
  <si>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</si>
  <si>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</si>
  <si>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</si>
  <si>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</si>
  <si>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</si>
  <si>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</si>
  <si>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</si>
  <si>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</si>
  <si>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</si>
  <si>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</si>
  <si>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</si>
  <si>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</si>
  <si>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</si>
  <si>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</si>
  <si>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</si>
  <si>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</si>
  <si>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</si>
  <si>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</si>
  <si>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</si>
  <si>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</si>
  <si>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</si>
  <si>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</si>
  <si>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</si>
  <si>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</si>
  <si>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</si>
  <si>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</si>
  <si>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</si>
  <si>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</si>
  <si>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</si>
  <si>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</si>
  <si>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</si>
  <si>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</si>
  <si>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</si>
  <si>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</si>
  <si>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</si>
  <si>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</si>
  <si>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</si>
  <si>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</si>
  <si>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</si>
  <si>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</si>
  <si>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</si>
  <si>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</si>
  <si>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</si>
  <si>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</si>
  <si>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</si>
  <si>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</si>
  <si>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</si>
  <si>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</si>
  <si>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</si>
  <si>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</si>
  <si>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</si>
  <si>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</si>
  <si>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</si>
  <si>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</si>
  <si>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</si>
  <si>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</si>
  <si>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</si>
  <si>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</si>
  <si>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</si>
  <si>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</si>
  <si>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</si>
  <si>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</si>
  <si>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</si>
  <si>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</si>
  <si>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</si>
  <si>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</si>
  <si>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</si>
  <si>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</si>
  <si>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</si>
  <si>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</si>
  <si>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</si>
  <si>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</si>
  <si>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</si>
  <si>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</si>
  <si>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</si>
  <si>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</si>
  <si>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</si>
  <si>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</si>
  <si>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</si>
  <si>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</si>
  <si>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</si>
  <si>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</si>
  <si>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</si>
  <si>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</si>
  <si>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</si>
  <si>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</si>
  <si>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</si>
  <si>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</si>
  <si>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</si>
  <si>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</si>
  <si>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</si>
  <si>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</si>
  <si>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</si>
  <si>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</si>
  <si>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</si>
  <si>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</si>
  <si>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</si>
  <si>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</si>
  <si>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</si>
  <si>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</si>
  <si>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</si>
  <si>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</si>
  <si>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</si>
  <si>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</si>
  <si>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</si>
  <si>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</si>
  <si>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</si>
  <si>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</si>
  <si>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</si>
  <si>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</si>
  <si>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</si>
  <si>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</si>
  <si>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</si>
  <si>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</si>
  <si>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</si>
  <si>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</si>
  <si>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Ứng Anh Tuấn</t>
  </si>
  <si>
    <t>Phạm Thị Linh Điệp</t>
  </si>
  <si>
    <t>Triệu Thu Hằng</t>
  </si>
  <si>
    <t>Nguyễn Tuyên</t>
  </si>
  <si>
    <t>Hoàng Anh Tuấn</t>
  </si>
  <si>
    <t>Phan Thị Mai Thảo</t>
  </si>
  <si>
    <t>Chi cục THADS thành phố Tuyên Quang</t>
  </si>
  <si>
    <t>Cao Trọng Thủy</t>
  </si>
  <si>
    <t xml:space="preserve">Đỗ Hồng Thuỷ </t>
  </si>
  <si>
    <t xml:space="preserve">Đỗ Quý Cường </t>
  </si>
  <si>
    <t xml:space="preserve">Hoàng Đức Úy </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</si>
  <si>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</si>
  <si>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</si>
  <si>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</si>
  <si>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</si>
  <si>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</si>
  <si>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</si>
  <si>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</si>
  <si>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</si>
  <si>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</si>
  <si>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</si>
  <si>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Nông Văn Thăng</t>
  </si>
  <si>
    <t>Chi cục THADS H. Hàm Yên</t>
  </si>
  <si>
    <t>Bàn Văn Thịnh</t>
  </si>
  <si>
    <t>Hà Duy Hiển</t>
  </si>
  <si>
    <t>Chi cục THADS H. Chiêm Hóa</t>
  </si>
  <si>
    <t>Trần Hữu Cường</t>
  </si>
  <si>
    <t>Lâm Văn Chiến</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</si>
  <si>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</si>
  <si>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</si>
  <si>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</si>
  <si>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</si>
  <si>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</si>
  <si>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</si>
  <si>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</si>
  <si>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</si>
  <si>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</si>
  <si>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</si>
  <si>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</si>
  <si>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</si>
  <si>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 xml:space="preserve">Nguyễn Tuyên </t>
  </si>
  <si>
    <t xml:space="preserve">   KẾT QUẢ THI HÀNH ÁN DÂN SỰ TÍNH BẰNG TIÊN</t>
  </si>
  <si>
    <t>Cục THADS tỉnh Tuyên Quang</t>
  </si>
  <si>
    <r>
      <t xml:space="preserve">Đơn vị nhận báo cáo: </t>
    </r>
    <r>
      <rPr>
        <b/>
        <sz val="9"/>
        <rFont val="Times New Roman"/>
        <family val="1"/>
      </rPr>
      <t>Tổng cục</t>
    </r>
  </si>
  <si>
    <t>Duy Thị Thúy</t>
  </si>
  <si>
    <t>Nguyễn Thị Dương Hồng</t>
  </si>
  <si>
    <t>Nguyễn Hồng Nghị</t>
  </si>
  <si>
    <t>Hà Ích Đạt</t>
  </si>
  <si>
    <t>Phạm Đức Thắng</t>
  </si>
  <si>
    <t xml:space="preserve">Hoàng Quang Hà </t>
  </si>
  <si>
    <t xml:space="preserve">Nguyễn Văn Quế </t>
  </si>
  <si>
    <t>Đỗ Minh Hạnh</t>
  </si>
  <si>
    <t>Hoàng Phương Hoa</t>
  </si>
  <si>
    <t>Hứa Đức Hạnh</t>
  </si>
  <si>
    <t>Đỗ Thị Hồng Huệ</t>
  </si>
  <si>
    <t>Nguyễn Thị  Dương Hồng</t>
  </si>
  <si>
    <t>Lê Xuân Giang</t>
  </si>
  <si>
    <t>Hoàng Quang Hà</t>
  </si>
  <si>
    <t xml:space="preserve">Nguyễn văn Quế </t>
  </si>
  <si>
    <t>08 tháng / năm 2018</t>
  </si>
  <si>
    <t>Tuyên Quang, ngày  01 tháng 06  năm 2018</t>
  </si>
  <si>
    <t>Ứng Anh Tuân</t>
  </si>
  <si>
    <t>Nguyễn Đức Tiến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</si>
</sst>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 numFmtId="219" formatCode="0.0%"/>
    <numFmt numFmtId="220" formatCode="0.0"/>
    <numFmt numFmtId="221" formatCode="#,##0.0"/>
  </numFmts>
  <fonts count="145">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b/>
      <sz val="9"/>
      <color indexed="14"/>
      <name val="Times New Roman"/>
      <family val="1"/>
    </font>
    <font>
      <b/>
      <sz val="9"/>
      <color indexed="8"/>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sz val="10"/>
      <name val=".VnTime"/>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color theme="1"/>
      <name val="Times New Roman"/>
      <family val="1"/>
    </font>
    <font>
      <sz val="10"/>
      <color theme="1"/>
      <name val="Times New Roman"/>
      <family val="1"/>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24997000396251678"/>
        <bgColor indexed="64"/>
      </patternFill>
    </fill>
    <fill>
      <patternFill patternType="solid">
        <fgColor indexed="4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double"/>
      <right style="thin"/>
      <top style="thin"/>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color indexed="63"/>
      </right>
      <top style="thin"/>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2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2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2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2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2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2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25"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5"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2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26"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2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2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2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26"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6"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27"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28"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9" fillId="39" borderId="3" applyNumberFormat="0" applyAlignment="0" applyProtection="0"/>
    <xf numFmtId="0" fontId="39" fillId="40" borderId="4" applyNumberFormat="0" applyAlignment="0" applyProtection="0"/>
    <xf numFmtId="0" fontId="39" fillId="40" borderId="4" applyNumberFormat="0" applyAlignment="0" applyProtection="0"/>
    <xf numFmtId="0" fontId="13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1"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2"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3"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4"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35" fillId="42" borderId="1" applyNumberFormat="0" applyAlignment="0" applyProtection="0"/>
    <xf numFmtId="0" fontId="45" fillId="9" borderId="2" applyNumberFormat="0" applyAlignment="0" applyProtection="0"/>
    <xf numFmtId="0" fontId="45" fillId="9" borderId="2" applyNumberFormat="0" applyAlignment="0" applyProtection="0"/>
    <xf numFmtId="0" fontId="136"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37"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38"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3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0"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57">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8"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8"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8"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8"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8"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8"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8"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8"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49" fontId="4" fillId="0" borderId="0" xfId="0" applyNumberFormat="1" applyFont="1" applyFill="1" applyAlignment="1">
      <alignment horizontal="right"/>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0" fontId="24" fillId="0" borderId="40"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39" xfId="0" applyFill="1" applyBorder="1" applyAlignment="1">
      <alignment/>
    </xf>
    <xf numFmtId="194" fontId="103"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right" vertical="center"/>
      <protection/>
    </xf>
    <xf numFmtId="9" fontId="24" fillId="0" borderId="20" xfId="148" applyNumberFormat="1" applyFont="1" applyFill="1" applyBorder="1" applyAlignment="1" applyProtection="1">
      <alignment vertical="center"/>
      <protection/>
    </xf>
    <xf numFmtId="49"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49" fontId="24" fillId="0" borderId="20" xfId="137"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horizontal="right" vertical="center"/>
      <protection/>
    </xf>
    <xf numFmtId="3" fontId="24" fillId="47" borderId="20" xfId="148"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locked="0"/>
    </xf>
    <xf numFmtId="194" fontId="0" fillId="0" borderId="0" xfId="93" applyNumberFormat="1" applyFont="1" applyFill="1" applyBorder="1" applyAlignment="1" applyProtection="1">
      <alignment vertical="center"/>
      <protection/>
    </xf>
    <xf numFmtId="210"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194" fontId="12" fillId="34" borderId="20" xfId="93" applyNumberFormat="1" applyFont="1" applyFill="1" applyBorder="1" applyAlignment="1" applyProtection="1">
      <alignment vertical="center"/>
      <protection/>
    </xf>
    <xf numFmtId="9" fontId="12" fillId="34" borderId="20" xfId="148" applyNumberFormat="1" applyFont="1" applyFill="1" applyBorder="1" applyAlignment="1" applyProtection="1">
      <alignment vertical="center"/>
      <protection/>
    </xf>
    <xf numFmtId="194" fontId="12" fillId="50" borderId="26" xfId="93" applyNumberFormat="1" applyFont="1" applyFill="1" applyBorder="1" applyAlignment="1" applyProtection="1">
      <alignment horizontal="left" vertical="center" wrapText="1"/>
      <protection locked="0"/>
    </xf>
    <xf numFmtId="194" fontId="12" fillId="50" borderId="20" xfId="93" applyNumberFormat="1" applyFont="1" applyFill="1" applyBorder="1" applyAlignment="1" applyProtection="1">
      <alignment vertical="center"/>
      <protection/>
    </xf>
    <xf numFmtId="9" fontId="12" fillId="50" borderId="20" xfId="148" applyNumberFormat="1" applyFont="1" applyFill="1" applyBorder="1" applyAlignment="1" applyProtection="1">
      <alignment vertical="center"/>
      <protection/>
    </xf>
    <xf numFmtId="194" fontId="12" fillId="50" borderId="20" xfId="93" applyNumberFormat="1" applyFont="1" applyFill="1" applyBorder="1" applyAlignment="1" applyProtection="1">
      <alignment horizontal="center" vertical="center"/>
      <protection locked="0"/>
    </xf>
    <xf numFmtId="0" fontId="24" fillId="0" borderId="20" xfId="93" applyNumberFormat="1" applyFont="1" applyFill="1" applyBorder="1" applyAlignment="1" applyProtection="1">
      <alignment horizontal="center" vertical="center"/>
      <protection locked="0"/>
    </xf>
    <xf numFmtId="0" fontId="142" fillId="47" borderId="20" xfId="0" applyFont="1" applyFill="1" applyBorder="1" applyAlignment="1" applyProtection="1">
      <alignment vertical="center"/>
      <protection locked="0"/>
    </xf>
    <xf numFmtId="0" fontId="4" fillId="47" borderId="20" xfId="0" applyFont="1" applyFill="1" applyBorder="1" applyAlignment="1" applyProtection="1">
      <alignment vertical="center"/>
      <protection locked="0"/>
    </xf>
    <xf numFmtId="0" fontId="4" fillId="47" borderId="26" xfId="0" applyFont="1" applyFill="1" applyBorder="1" applyAlignment="1" applyProtection="1">
      <alignment vertical="center"/>
      <protection locked="0"/>
    </xf>
    <xf numFmtId="49" fontId="12" fillId="0" borderId="41" xfId="0" applyNumberFormat="1" applyFont="1" applyFill="1" applyBorder="1" applyAlignment="1" applyProtection="1">
      <alignment horizontal="center" vertical="center"/>
      <protection/>
    </xf>
    <xf numFmtId="3" fontId="24" fillId="0" borderId="20" xfId="135" applyNumberFormat="1" applyFont="1" applyFill="1" applyBorder="1" applyAlignment="1" applyProtection="1">
      <alignment vertical="center"/>
      <protection/>
    </xf>
    <xf numFmtId="3" fontId="104" fillId="50" borderId="20" xfId="0" applyNumberFormat="1" applyFont="1" applyFill="1" applyBorder="1" applyAlignment="1" applyProtection="1">
      <alignment vertical="center"/>
      <protection/>
    </xf>
    <xf numFmtId="210" fontId="24" fillId="0" borderId="20" xfId="0" applyNumberFormat="1" applyFont="1" applyFill="1" applyBorder="1" applyAlignment="1" applyProtection="1">
      <alignment horizontal="right" vertical="center"/>
      <protection locked="0"/>
    </xf>
    <xf numFmtId="210" fontId="24" fillId="51" borderId="20" xfId="0" applyNumberFormat="1" applyFont="1" applyFill="1" applyBorder="1" applyAlignment="1" applyProtection="1">
      <alignment horizontal="right" vertical="center"/>
      <protection locked="0"/>
    </xf>
    <xf numFmtId="3" fontId="24" fillId="51" borderId="20" xfId="0" applyNumberFormat="1" applyFont="1" applyFill="1" applyBorder="1" applyAlignment="1" applyProtection="1">
      <alignment horizontal="right" vertical="center"/>
      <protection locked="0"/>
    </xf>
    <xf numFmtId="3" fontId="24" fillId="51" borderId="20" xfId="0" applyNumberFormat="1" applyFont="1" applyFill="1" applyBorder="1" applyAlignment="1" applyProtection="1">
      <alignment horizontal="right" vertical="center"/>
      <protection/>
    </xf>
    <xf numFmtId="3" fontId="24" fillId="51" borderId="20" xfId="148" applyNumberFormat="1" applyFont="1" applyFill="1" applyBorder="1" applyAlignment="1" applyProtection="1">
      <alignment horizontal="right" vertical="center"/>
      <protection/>
    </xf>
    <xf numFmtId="3" fontId="24" fillId="51" borderId="20" xfId="0" applyNumberFormat="1" applyFont="1" applyFill="1" applyBorder="1" applyAlignment="1">
      <alignment horizontal="right" vertical="center"/>
    </xf>
    <xf numFmtId="49" fontId="5" fillId="47" borderId="20" xfId="0" applyNumberFormat="1" applyFont="1" applyFill="1" applyBorder="1" applyAlignment="1" applyProtection="1">
      <alignment horizontal="center" vertical="center"/>
      <protection/>
    </xf>
    <xf numFmtId="3" fontId="24" fillId="47" borderId="20" xfId="0" applyNumberFormat="1" applyFont="1" applyFill="1" applyBorder="1" applyAlignment="1" applyProtection="1">
      <alignment horizontal="center" vertical="center"/>
      <protection/>
    </xf>
    <xf numFmtId="3" fontId="24" fillId="51" borderId="21" xfId="0" applyNumberFormat="1" applyFont="1" applyFill="1" applyBorder="1" applyAlignment="1" applyProtection="1">
      <alignment horizontal="center" vertical="center"/>
      <protection/>
    </xf>
    <xf numFmtId="3" fontId="12" fillId="47" borderId="20" xfId="0" applyNumberFormat="1" applyFont="1" applyFill="1" applyBorder="1" applyAlignment="1" applyProtection="1">
      <alignment horizontal="right" vertical="center"/>
      <protection/>
    </xf>
    <xf numFmtId="9" fontId="5" fillId="0" borderId="20" xfId="0" applyNumberFormat="1" applyFont="1" applyFill="1" applyBorder="1" applyAlignment="1" applyProtection="1">
      <alignment horizontal="right"/>
      <protection/>
    </xf>
    <xf numFmtId="3" fontId="5" fillId="0" borderId="20" xfId="135" applyNumberFormat="1" applyFont="1" applyFill="1" applyBorder="1" applyAlignment="1" applyProtection="1">
      <alignment horizontal="right" vertical="center"/>
      <protection/>
    </xf>
    <xf numFmtId="49" fontId="105" fillId="47" borderId="20" xfId="0" applyNumberFormat="1" applyFont="1" applyFill="1" applyBorder="1" applyAlignment="1" applyProtection="1">
      <alignment horizontal="center" vertical="center"/>
      <protection/>
    </xf>
    <xf numFmtId="3" fontId="105" fillId="47" borderId="20" xfId="0" applyNumberFormat="1" applyFont="1" applyFill="1" applyBorder="1" applyAlignment="1" applyProtection="1">
      <alignment horizontal="right" vertical="center"/>
      <protection/>
    </xf>
    <xf numFmtId="3" fontId="105" fillId="47" borderId="20" xfId="148" applyNumberFormat="1" applyFont="1" applyFill="1" applyBorder="1" applyAlignment="1" applyProtection="1">
      <alignment horizontal="right" vertical="center"/>
      <protection/>
    </xf>
    <xf numFmtId="3" fontId="105" fillId="47" borderId="20" xfId="0" applyNumberFormat="1" applyFont="1" applyFill="1" applyBorder="1" applyAlignment="1">
      <alignment horizontal="right"/>
    </xf>
    <xf numFmtId="210" fontId="5" fillId="47" borderId="20" xfId="141" applyNumberFormat="1" applyFont="1" applyFill="1" applyBorder="1" applyAlignment="1" applyProtection="1">
      <alignment horizontal="right" vertical="center"/>
      <protection/>
    </xf>
    <xf numFmtId="49" fontId="4" fillId="0" borderId="20" xfId="135" applyNumberFormat="1" applyFont="1" applyFill="1" applyBorder="1" applyAlignment="1">
      <alignment horizontal="left" vertical="center"/>
      <protection/>
    </xf>
    <xf numFmtId="3" fontId="5" fillId="0" borderId="20" xfId="0" applyNumberFormat="1" applyFont="1" applyFill="1" applyBorder="1" applyAlignment="1" applyProtection="1">
      <alignment horizontal="right" vertical="center"/>
      <protection/>
    </xf>
    <xf numFmtId="0" fontId="4" fillId="51" borderId="20" xfId="0" applyFont="1" applyFill="1" applyBorder="1" applyAlignment="1" applyProtection="1">
      <alignment vertical="center"/>
      <protection locked="0"/>
    </xf>
    <xf numFmtId="194" fontId="5" fillId="0" borderId="20" xfId="93" applyNumberFormat="1" applyFont="1" applyFill="1" applyBorder="1" applyAlignment="1" applyProtection="1">
      <alignment horizontal="center" vertical="center"/>
      <protection locked="0"/>
    </xf>
    <xf numFmtId="3" fontId="5" fillId="0" borderId="20" xfId="135" applyNumberFormat="1" applyFont="1" applyFill="1" applyBorder="1" applyAlignment="1" applyProtection="1">
      <alignment horizontal="right" vertical="center"/>
      <protection/>
    </xf>
    <xf numFmtId="3" fontId="5" fillId="47" borderId="20" xfId="0" applyNumberFormat="1" applyFont="1" applyFill="1" applyBorder="1" applyAlignment="1" applyProtection="1">
      <alignment horizontal="right" vertical="center"/>
      <protection/>
    </xf>
    <xf numFmtId="3" fontId="5" fillId="47" borderId="20" xfId="148"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49" fontId="24" fillId="47" borderId="20" xfId="0" applyNumberFormat="1" applyFont="1" applyFill="1" applyBorder="1" applyAlignment="1" applyProtection="1">
      <alignment horizontal="center" vertical="center"/>
      <protection/>
    </xf>
    <xf numFmtId="49" fontId="5" fillId="47" borderId="20" xfId="0" applyNumberFormat="1" applyFont="1" applyFill="1" applyBorder="1" applyAlignment="1" applyProtection="1">
      <alignment vertical="center"/>
      <protection/>
    </xf>
    <xf numFmtId="49" fontId="5" fillId="47" borderId="21" xfId="0" applyNumberFormat="1" applyFont="1" applyFill="1" applyBorder="1" applyAlignment="1" applyProtection="1">
      <alignment vertical="center"/>
      <protection/>
    </xf>
    <xf numFmtId="210" fontId="5" fillId="0" borderId="20" xfId="0" applyNumberFormat="1" applyFont="1" applyFill="1" applyBorder="1" applyAlignment="1" applyProtection="1">
      <alignment horizontal="right" vertical="center"/>
      <protection locked="0"/>
    </xf>
    <xf numFmtId="213" fontId="5" fillId="47" borderId="20" xfId="0" applyNumberFormat="1" applyFont="1" applyFill="1" applyBorder="1" applyAlignment="1" applyProtection="1">
      <alignment horizontal="right" vertical="center"/>
      <protection locked="0"/>
    </xf>
    <xf numFmtId="210" fontId="5" fillId="51" borderId="20" xfId="0" applyNumberFormat="1" applyFont="1" applyFill="1" applyBorder="1" applyAlignment="1" applyProtection="1">
      <alignment horizontal="right" vertical="center"/>
      <protection locked="0"/>
    </xf>
    <xf numFmtId="213" fontId="5" fillId="51" borderId="20" xfId="0" applyNumberFormat="1" applyFont="1" applyFill="1" applyBorder="1" applyAlignment="1" applyProtection="1">
      <alignment horizontal="right" vertical="center"/>
      <protection locked="0"/>
    </xf>
    <xf numFmtId="3" fontId="5" fillId="51" borderId="20" xfId="0" applyNumberFormat="1" applyFont="1" applyFill="1" applyBorder="1" applyAlignment="1" applyProtection="1">
      <alignment horizontal="right" vertical="center"/>
      <protection/>
    </xf>
    <xf numFmtId="3" fontId="5" fillId="51" borderId="20" xfId="148" applyNumberFormat="1" applyFont="1" applyFill="1" applyBorder="1" applyAlignment="1" applyProtection="1">
      <alignment horizontal="right" vertical="center"/>
      <protection/>
    </xf>
    <xf numFmtId="3" fontId="5" fillId="51" borderId="20" xfId="0" applyNumberFormat="1" applyFont="1" applyFill="1" applyBorder="1" applyAlignment="1">
      <alignment horizontal="right"/>
    </xf>
    <xf numFmtId="0" fontId="142" fillId="47" borderId="26" xfId="0" applyFont="1" applyFill="1" applyBorder="1" applyAlignment="1" applyProtection="1">
      <alignment vertical="center"/>
      <protection locked="0"/>
    </xf>
    <xf numFmtId="3" fontId="5" fillId="0" borderId="42" xfId="135" applyNumberFormat="1" applyFont="1" applyFill="1" applyBorder="1" applyAlignment="1" applyProtection="1">
      <alignment horizontal="right" vertical="center"/>
      <protection/>
    </xf>
    <xf numFmtId="3" fontId="5" fillId="0" borderId="42" xfId="135" applyNumberFormat="1" applyFont="1" applyFill="1" applyBorder="1" applyAlignment="1" applyProtection="1">
      <alignment horizontal="right" vertical="center"/>
      <protection/>
    </xf>
    <xf numFmtId="3" fontId="24" fillId="51" borderId="21" xfId="0"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3" fontId="24" fillId="47" borderId="21" xfId="148" applyNumberFormat="1" applyFont="1" applyFill="1" applyBorder="1" applyAlignment="1" applyProtection="1">
      <alignment horizontal="right" vertical="center"/>
      <protection/>
    </xf>
    <xf numFmtId="3" fontId="5" fillId="47" borderId="21" xfId="0" applyNumberFormat="1" applyFont="1" applyFill="1" applyBorder="1" applyAlignment="1" applyProtection="1">
      <alignment horizontal="right" vertical="center"/>
      <protection/>
    </xf>
    <xf numFmtId="3" fontId="5" fillId="47" borderId="21" xfId="148" applyNumberFormat="1" applyFont="1" applyFill="1" applyBorder="1" applyAlignment="1" applyProtection="1">
      <alignment horizontal="right" vertical="center"/>
      <protection/>
    </xf>
    <xf numFmtId="49" fontId="5" fillId="47" borderId="20" xfId="0" applyNumberFormat="1" applyFont="1" applyFill="1" applyBorder="1" applyAlignment="1" applyProtection="1">
      <alignment horizontal="center" vertical="center"/>
      <protection locked="0"/>
    </xf>
    <xf numFmtId="49" fontId="5" fillId="47" borderId="20" xfId="0" applyNumberFormat="1" applyFont="1" applyFill="1" applyBorder="1" applyAlignment="1" applyProtection="1">
      <alignment horizontal="left" vertical="center"/>
      <protection locked="0"/>
    </xf>
    <xf numFmtId="49" fontId="5" fillId="0" borderId="41" xfId="0" applyNumberFormat="1" applyFont="1" applyFill="1" applyBorder="1" applyAlignment="1" applyProtection="1">
      <alignment horizontal="center" vertical="center"/>
      <protection/>
    </xf>
    <xf numFmtId="3" fontId="5" fillId="47" borderId="20" xfId="0" applyNumberFormat="1" applyFont="1" applyFill="1" applyBorder="1" applyAlignment="1" applyProtection="1">
      <alignment horizontal="right" vertical="center"/>
      <protection locked="0"/>
    </xf>
    <xf numFmtId="3" fontId="5" fillId="47" borderId="20" xfId="149" applyNumberFormat="1" applyFont="1" applyFill="1" applyBorder="1" applyAlignment="1" applyProtection="1">
      <alignment horizontal="right" vertical="center"/>
      <protection locked="0"/>
    </xf>
    <xf numFmtId="194" fontId="24" fillId="0" borderId="20" xfId="93" applyNumberFormat="1" applyFont="1" applyFill="1" applyBorder="1" applyAlignment="1" applyProtection="1">
      <alignment vertical="center"/>
      <protection locked="0"/>
    </xf>
    <xf numFmtId="9" fontId="24" fillId="47" borderId="20" xfId="0" applyNumberFormat="1" applyFont="1" applyFill="1" applyBorder="1" applyAlignment="1" applyProtection="1">
      <alignment horizontal="right" vertical="center"/>
      <protection/>
    </xf>
    <xf numFmtId="3" fontId="24" fillId="51" borderId="20" xfId="0" applyNumberFormat="1" applyFont="1" applyFill="1" applyBorder="1" applyAlignment="1">
      <alignment horizontal="right"/>
    </xf>
    <xf numFmtId="9" fontId="24" fillId="51" borderId="20" xfId="0" applyNumberFormat="1" applyFont="1" applyFill="1" applyBorder="1" applyAlignment="1" applyProtection="1">
      <alignment horizontal="right" vertical="center"/>
      <protection/>
    </xf>
    <xf numFmtId="194" fontId="12" fillId="50" borderId="20" xfId="93" applyNumberFormat="1" applyFont="1" applyFill="1" applyBorder="1" applyAlignment="1" applyProtection="1">
      <alignment horizontal="center" vertical="center"/>
      <protection locked="0"/>
    </xf>
    <xf numFmtId="194" fontId="12" fillId="50" borderId="26" xfId="93" applyNumberFormat="1" applyFont="1" applyFill="1" applyBorder="1" applyAlignment="1" applyProtection="1">
      <alignment horizontal="left" vertical="center" wrapText="1"/>
      <protection locked="0"/>
    </xf>
    <xf numFmtId="194" fontId="12" fillId="50" borderId="20" xfId="93" applyNumberFormat="1" applyFont="1" applyFill="1" applyBorder="1" applyAlignment="1" applyProtection="1">
      <alignment vertical="center"/>
      <protection/>
    </xf>
    <xf numFmtId="9" fontId="12" fillId="50" borderId="20" xfId="148" applyNumberFormat="1" applyFont="1" applyFill="1" applyBorder="1" applyAlignment="1" applyProtection="1">
      <alignment vertical="center"/>
      <protection/>
    </xf>
    <xf numFmtId="194" fontId="6" fillId="38" borderId="20" xfId="93" applyNumberFormat="1" applyFont="1" applyFill="1" applyBorder="1" applyAlignment="1" applyProtection="1">
      <alignment horizontal="right" vertical="center" wrapText="1"/>
      <protection/>
    </xf>
    <xf numFmtId="9" fontId="6" fillId="38" borderId="20" xfId="93" applyNumberFormat="1" applyFont="1" applyFill="1" applyBorder="1" applyAlignment="1" applyProtection="1">
      <alignment horizontal="right" vertical="center" wrapText="1"/>
      <protection/>
    </xf>
    <xf numFmtId="49" fontId="6" fillId="0" borderId="41"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vertical="center"/>
      <protection/>
    </xf>
    <xf numFmtId="194" fontId="5" fillId="0" borderId="20" xfId="93" applyNumberFormat="1" applyFont="1" applyFill="1" applyBorder="1" applyAlignment="1" applyProtection="1">
      <alignment horizontal="right" vertical="center" wrapText="1"/>
      <protection/>
    </xf>
    <xf numFmtId="0" fontId="5" fillId="47" borderId="20" xfId="0" applyFont="1" applyFill="1" applyBorder="1" applyAlignment="1" applyProtection="1">
      <alignment vertical="center"/>
      <protection locked="0"/>
    </xf>
    <xf numFmtId="0" fontId="5" fillId="51" borderId="20" xfId="0" applyFont="1" applyFill="1" applyBorder="1" applyAlignment="1" applyProtection="1">
      <alignment vertical="center"/>
      <protection locked="0"/>
    </xf>
    <xf numFmtId="0" fontId="5" fillId="47" borderId="20" xfId="0" applyFont="1" applyFill="1" applyBorder="1" applyAlignment="1" applyProtection="1">
      <alignment horizontal="left" vertical="center"/>
      <protection locked="0"/>
    </xf>
    <xf numFmtId="0" fontId="143" fillId="47" borderId="20" xfId="0" applyFont="1" applyFill="1" applyBorder="1" applyAlignment="1" applyProtection="1">
      <alignment horizontal="left" vertical="center"/>
      <protection locked="0"/>
    </xf>
    <xf numFmtId="0" fontId="143" fillId="47" borderId="26" xfId="0" applyFont="1" applyFill="1" applyBorder="1" applyAlignment="1" applyProtection="1">
      <alignment horizontal="left" vertical="center"/>
      <protection locked="0"/>
    </xf>
    <xf numFmtId="0" fontId="5" fillId="47" borderId="26" xfId="0" applyFont="1" applyFill="1" applyBorder="1" applyAlignment="1" applyProtection="1">
      <alignment horizontal="left" vertical="center"/>
      <protection locked="0"/>
    </xf>
    <xf numFmtId="49" fontId="6" fillId="0" borderId="26" xfId="135" applyNumberFormat="1" applyFont="1" applyFill="1" applyBorder="1" applyAlignment="1">
      <alignment vertical="center" wrapText="1"/>
      <protection/>
    </xf>
    <xf numFmtId="49" fontId="6" fillId="0" borderId="43" xfId="135" applyNumberFormat="1" applyFont="1" applyFill="1" applyBorder="1" applyAlignment="1">
      <alignment horizontal="right" vertical="center" wrapText="1"/>
      <protection/>
    </xf>
    <xf numFmtId="49" fontId="6" fillId="0" borderId="25" xfId="135" applyNumberFormat="1" applyFont="1" applyFill="1" applyBorder="1" applyAlignment="1">
      <alignment horizontal="right" vertical="center" wrapText="1"/>
      <protection/>
    </xf>
    <xf numFmtId="49" fontId="6" fillId="0" borderId="20" xfId="135" applyNumberFormat="1" applyFont="1" applyFill="1" applyBorder="1" applyAlignment="1">
      <alignment vertical="center" wrapText="1"/>
      <protection/>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194" fontId="6" fillId="38" borderId="20" xfId="93" applyNumberFormat="1" applyFont="1" applyFill="1" applyBorder="1" applyAlignment="1" applyProtection="1">
      <alignment vertical="center" wrapText="1"/>
      <protection/>
    </xf>
    <xf numFmtId="9" fontId="6" fillId="38" borderId="20" xfId="93" applyNumberFormat="1" applyFont="1" applyFill="1" applyBorder="1" applyAlignment="1" applyProtection="1">
      <alignment vertical="center" wrapText="1"/>
      <protection/>
    </xf>
    <xf numFmtId="49" fontId="5" fillId="47" borderId="20" xfId="0" applyNumberFormat="1" applyFont="1" applyFill="1" applyBorder="1" applyAlignment="1" applyProtection="1">
      <alignment horizontal="left" vertical="center"/>
      <protection/>
    </xf>
    <xf numFmtId="3" fontId="5" fillId="47" borderId="20" xfId="0" applyNumberFormat="1" applyFont="1" applyFill="1" applyBorder="1" applyAlignment="1" applyProtection="1">
      <alignment vertical="center"/>
      <protection/>
    </xf>
    <xf numFmtId="49" fontId="5" fillId="47" borderId="21" xfId="0" applyNumberFormat="1" applyFont="1" applyFill="1" applyBorder="1" applyAlignment="1" applyProtection="1">
      <alignment horizontal="left" vertical="center"/>
      <protection/>
    </xf>
    <xf numFmtId="3" fontId="5" fillId="47" borderId="21" xfId="0" applyNumberFormat="1" applyFont="1" applyFill="1" applyBorder="1" applyAlignment="1" applyProtection="1">
      <alignment vertical="center"/>
      <protection/>
    </xf>
    <xf numFmtId="49" fontId="5" fillId="47" borderId="20" xfId="137" applyNumberFormat="1" applyFont="1" applyFill="1" applyBorder="1" applyAlignment="1" applyProtection="1">
      <alignment vertical="center"/>
      <protection locked="0"/>
    </xf>
    <xf numFmtId="49" fontId="5" fillId="0" borderId="20" xfId="0" applyNumberFormat="1" applyFont="1" applyFill="1" applyBorder="1" applyAlignment="1">
      <alignment/>
    </xf>
    <xf numFmtId="49" fontId="5" fillId="0" borderId="0" xfId="0" applyNumberFormat="1" applyFont="1" applyFill="1" applyAlignment="1">
      <alignment/>
    </xf>
    <xf numFmtId="210" fontId="5" fillId="47" borderId="20" xfId="140" applyNumberFormat="1" applyFont="1" applyFill="1" applyBorder="1" applyAlignment="1" applyProtection="1">
      <alignment horizontal="right" vertical="center"/>
      <protection/>
    </xf>
    <xf numFmtId="194" fontId="6" fillId="52" borderId="20" xfId="93" applyNumberFormat="1" applyFont="1" applyFill="1" applyBorder="1" applyAlignment="1" applyProtection="1">
      <alignment horizontal="right" vertical="center" wrapText="1"/>
      <protection/>
    </xf>
    <xf numFmtId="213" fontId="5" fillId="0" borderId="20" xfId="0" applyNumberFormat="1" applyFont="1" applyFill="1" applyBorder="1" applyAlignment="1" applyProtection="1">
      <alignment horizontal="right" vertical="center"/>
      <protection locked="0"/>
    </xf>
    <xf numFmtId="213" fontId="5" fillId="0" borderId="20" xfId="149" applyNumberFormat="1" applyFont="1" applyFill="1" applyBorder="1" applyAlignment="1" applyProtection="1">
      <alignment horizontal="right" vertical="center"/>
      <protection locked="0"/>
    </xf>
    <xf numFmtId="49" fontId="105" fillId="47" borderId="20" xfId="0" applyNumberFormat="1" applyFont="1" applyFill="1" applyBorder="1" applyAlignment="1" applyProtection="1">
      <alignment horizontal="left" vertical="center"/>
      <protection/>
    </xf>
    <xf numFmtId="49" fontId="5" fillId="0" borderId="20" xfId="0" applyNumberFormat="1" applyFont="1" applyFill="1" applyBorder="1" applyAlignment="1" applyProtection="1">
      <alignment horizontal="left" vertical="center"/>
      <protection/>
    </xf>
    <xf numFmtId="49" fontId="5" fillId="0" borderId="20" xfId="135" applyNumberFormat="1" applyFont="1" applyFill="1" applyBorder="1" applyAlignment="1">
      <alignment horizontal="left" vertical="center"/>
      <protection/>
    </xf>
    <xf numFmtId="49" fontId="105" fillId="47" borderId="20" xfId="0" applyNumberFormat="1" applyFont="1" applyFill="1" applyBorder="1" applyAlignment="1" applyProtection="1">
      <alignment vertical="center"/>
      <protection/>
    </xf>
    <xf numFmtId="49" fontId="24" fillId="0" borderId="20" xfId="0" applyNumberFormat="1" applyFont="1" applyFill="1" applyBorder="1" applyAlignment="1" applyProtection="1">
      <alignment horizontal="left" vertical="center"/>
      <protection locked="0"/>
    </xf>
    <xf numFmtId="0" fontId="4" fillId="47" borderId="20" xfId="0" applyFont="1" applyFill="1" applyBorder="1" applyAlignment="1" applyProtection="1">
      <alignment horizontal="center" vertical="center"/>
      <protection locked="0"/>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4"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39"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4"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39"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4"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5" fillId="4" borderId="21" xfId="139" applyNumberFormat="1" applyFont="1" applyFill="1" applyBorder="1" applyAlignment="1">
      <alignment horizontal="center" vertical="center" wrapText="1"/>
      <protection/>
    </xf>
    <xf numFmtId="49" fontId="75" fillId="4" borderId="39"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43"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39"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4"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7"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39"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4"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39"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0"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4" xfId="139" applyNumberFormat="1"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49" fontId="0" fillId="0" borderId="0" xfId="139" applyNumberFormat="1" applyFont="1" applyFill="1" applyAlignment="1">
      <alignment horizontal="left"/>
      <protection/>
    </xf>
    <xf numFmtId="49" fontId="18" fillId="0" borderId="0" xfId="139" applyNumberFormat="1" applyFont="1" applyFill="1" applyBorder="1" applyAlignment="1">
      <alignment horizontal="left"/>
      <protection/>
    </xf>
    <xf numFmtId="49" fontId="13" fillId="0" borderId="22" xfId="139" applyNumberFormat="1" applyFont="1" applyFill="1" applyBorder="1" applyAlignment="1">
      <alignment horizontal="center" vertic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4"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5" xfId="0" applyNumberFormat="1" applyFont="1" applyFill="1" applyBorder="1" applyAlignment="1">
      <alignment horizontal="center" vertical="center"/>
    </xf>
    <xf numFmtId="49" fontId="25" fillId="47" borderId="46"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3"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9"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194" fontId="23" fillId="0" borderId="0" xfId="93" applyNumberFormat="1" applyFont="1" applyFill="1" applyBorder="1" applyAlignment="1" applyProtection="1">
      <alignment horizontal="center" vertical="center"/>
      <protection/>
    </xf>
    <xf numFmtId="49" fontId="12" fillId="0" borderId="26" xfId="135" applyNumberFormat="1" applyFont="1" applyFill="1" applyBorder="1" applyAlignment="1">
      <alignment vertical="center" wrapText="1"/>
      <protection/>
    </xf>
    <xf numFmtId="49" fontId="12" fillId="0" borderId="25" xfId="135" applyNumberFormat="1" applyFont="1" applyFill="1" applyBorder="1" applyAlignment="1">
      <alignment vertical="center" wrapText="1"/>
      <protection/>
    </xf>
    <xf numFmtId="49" fontId="24" fillId="0" borderId="0" xfId="0" applyNumberFormat="1" applyFont="1" applyFill="1" applyAlignment="1">
      <alignment horizontal="left"/>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49" fontId="3" fillId="0" borderId="0" xfId="0" applyNumberFormat="1" applyFont="1" applyFill="1" applyAlignment="1">
      <alignment horizontal="center"/>
    </xf>
    <xf numFmtId="0" fontId="22" fillId="0" borderId="0" xfId="0" applyNumberFormat="1" applyFont="1" applyFill="1" applyAlignment="1">
      <alignment horizontal="center"/>
    </xf>
    <xf numFmtId="49" fontId="12" fillId="0" borderId="48"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1" fontId="12" fillId="0" borderId="48" xfId="0" applyNumberFormat="1" applyFont="1" applyFill="1" applyBorder="1" applyAlignment="1">
      <alignment horizontal="center" vertical="center"/>
    </xf>
    <xf numFmtId="49" fontId="12" fillId="0" borderId="48"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41"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49" fontId="24" fillId="0" borderId="50"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39"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28" fillId="0" borderId="0" xfId="0" applyNumberFormat="1" applyFont="1" applyFill="1" applyAlignment="1">
      <alignment horizontal="left"/>
    </xf>
    <xf numFmtId="194" fontId="18" fillId="0" borderId="19" xfId="93"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wrapText="1"/>
      <protection/>
    </xf>
    <xf numFmtId="49" fontId="16" fillId="0" borderId="41"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194" fontId="6" fillId="52" borderId="26" xfId="93" applyNumberFormat="1" applyFont="1" applyFill="1" applyBorder="1" applyAlignment="1" applyProtection="1">
      <alignment horizontal="left" vertical="center" wrapText="1"/>
      <protection locked="0"/>
    </xf>
    <xf numFmtId="194" fontId="5" fillId="52" borderId="26" xfId="93" applyNumberFormat="1" applyFont="1" applyFill="1" applyBorder="1" applyAlignment="1" applyProtection="1">
      <alignment vertical="center" wrapText="1"/>
      <protection locked="0"/>
    </xf>
    <xf numFmtId="49" fontId="6" fillId="52" borderId="20" xfId="135" applyNumberFormat="1" applyFont="1" applyFill="1" applyBorder="1" applyAlignment="1">
      <alignment vertical="center" wrapText="1"/>
      <protection/>
    </xf>
    <xf numFmtId="49" fontId="6" fillId="52" borderId="20" xfId="0" applyNumberFormat="1" applyFont="1" applyFill="1" applyBorder="1" applyAlignment="1" applyProtection="1">
      <alignment vertical="center"/>
      <protection/>
    </xf>
    <xf numFmtId="49" fontId="6" fillId="12" borderId="51" xfId="0" applyNumberFormat="1" applyFont="1" applyFill="1" applyBorder="1" applyAlignment="1" applyProtection="1">
      <alignment horizontal="center" vertical="center" wrapText="1"/>
      <protection/>
    </xf>
    <xf numFmtId="49" fontId="6" fillId="12" borderId="25" xfId="0" applyNumberFormat="1" applyFont="1" applyFill="1" applyBorder="1" applyAlignment="1" applyProtection="1">
      <alignment horizontal="center" vertical="center" wrapText="1"/>
      <protection/>
    </xf>
    <xf numFmtId="194" fontId="6" fillId="12" borderId="20" xfId="93" applyNumberFormat="1" applyFont="1" applyFill="1" applyBorder="1" applyAlignment="1" applyProtection="1">
      <alignment horizontal="right" vertical="center" wrapText="1"/>
      <protection/>
    </xf>
    <xf numFmtId="9" fontId="6" fillId="12" borderId="20" xfId="93" applyNumberFormat="1" applyFont="1" applyFill="1" applyBorder="1" applyAlignment="1" applyProtection="1">
      <alignment horizontal="right" vertical="center" wrapText="1"/>
      <protection/>
    </xf>
    <xf numFmtId="9" fontId="5" fillId="51" borderId="20" xfId="93" applyNumberFormat="1" applyFont="1" applyFill="1" applyBorder="1" applyAlignment="1" applyProtection="1">
      <alignment horizontal="right" vertical="center" wrapText="1"/>
      <protection/>
    </xf>
    <xf numFmtId="3" fontId="5" fillId="47" borderId="20" xfId="0" applyNumberFormat="1" applyFont="1" applyFill="1" applyBorder="1" applyAlignment="1">
      <alignment horizontal="right"/>
    </xf>
    <xf numFmtId="9" fontId="5" fillId="0" borderId="20" xfId="0" applyNumberFormat="1" applyFont="1" applyFill="1" applyBorder="1" applyAlignment="1" applyProtection="1">
      <alignment horizontal="right"/>
      <protection/>
    </xf>
    <xf numFmtId="194" fontId="24" fillId="51" borderId="26" xfId="93" applyNumberFormat="1" applyFont="1" applyFill="1" applyBorder="1" applyAlignment="1" applyProtection="1">
      <alignment horizontal="left" vertical="center" wrapText="1"/>
      <protection locked="0"/>
    </xf>
    <xf numFmtId="194" fontId="24" fillId="51" borderId="20" xfId="93" applyNumberFormat="1" applyFont="1" applyFill="1" applyBorder="1" applyAlignment="1" applyProtection="1">
      <alignment vertical="center"/>
      <protection/>
    </xf>
    <xf numFmtId="210" fontId="24" fillId="51" borderId="20" xfId="0" applyNumberFormat="1" applyFont="1" applyFill="1" applyBorder="1" applyAlignment="1" applyProtection="1">
      <alignment vertical="center"/>
      <protection locked="0"/>
    </xf>
    <xf numFmtId="194" fontId="12" fillId="51" borderId="20" xfId="93" applyNumberFormat="1" applyFont="1" applyFill="1" applyBorder="1" applyAlignment="1" applyProtection="1">
      <alignment vertical="center"/>
      <protection/>
    </xf>
    <xf numFmtId="3" fontId="24" fillId="47" borderId="20" xfId="0" applyNumberFormat="1" applyFont="1" applyFill="1" applyBorder="1" applyAlignment="1">
      <alignment horizontal="right"/>
    </xf>
    <xf numFmtId="3" fontId="5" fillId="0" borderId="20" xfId="0" applyNumberFormat="1" applyFont="1" applyFill="1" applyBorder="1" applyAlignment="1" applyProtection="1">
      <alignment horizontal="right"/>
      <protection/>
    </xf>
    <xf numFmtId="194" fontId="12" fillId="54" borderId="20" xfId="93" applyNumberFormat="1" applyFont="1" applyFill="1" applyBorder="1" applyAlignment="1" applyProtection="1">
      <alignment vertical="center"/>
      <protection/>
    </xf>
    <xf numFmtId="9" fontId="5" fillId="47" borderId="20" xfId="148" applyFont="1" applyFill="1" applyBorder="1" applyAlignment="1" applyProtection="1">
      <alignment horizontal="right" vertical="center"/>
      <protection/>
    </xf>
    <xf numFmtId="3" fontId="124" fillId="47" borderId="20" xfId="0" applyNumberFormat="1" applyFont="1" applyFill="1" applyBorder="1" applyAlignment="1" applyProtection="1">
      <alignment horizontal="right" vertical="center"/>
      <protection/>
    </xf>
    <xf numFmtId="3" fontId="124" fillId="47" borderId="20" xfId="148"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vertical="center"/>
    </xf>
    <xf numFmtId="10" fontId="124" fillId="47" borderId="20" xfId="0"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vertical="center"/>
      <protection/>
    </xf>
    <xf numFmtId="3" fontId="5" fillId="51" borderId="20" xfId="0" applyNumberFormat="1" applyFont="1" applyFill="1" applyBorder="1" applyAlignment="1" applyProtection="1">
      <alignment vertical="center"/>
      <protection locked="0"/>
    </xf>
    <xf numFmtId="3" fontId="5" fillId="51" borderId="20" xfId="148" applyNumberFormat="1" applyFont="1" applyFill="1" applyBorder="1" applyAlignment="1" applyProtection="1">
      <alignment vertical="center"/>
      <protection locked="0"/>
    </xf>
    <xf numFmtId="221" fontId="5" fillId="51" borderId="20" xfId="0" applyNumberFormat="1" applyFont="1" applyFill="1" applyBorder="1" applyAlignment="1" applyProtection="1">
      <alignment vertical="center" wrapText="1"/>
      <protection/>
    </xf>
    <xf numFmtId="49" fontId="5" fillId="47" borderId="20" xfId="0" applyNumberFormat="1" applyFont="1" applyFill="1" applyBorder="1" applyAlignment="1" applyProtection="1">
      <alignment horizontal="center" vertical="center"/>
      <protection locked="0"/>
    </xf>
    <xf numFmtId="49" fontId="5" fillId="0" borderId="41" xfId="0" applyNumberFormat="1" applyFont="1" applyFill="1" applyBorder="1" applyAlignment="1" applyProtection="1">
      <alignment horizontal="center" vertical="center"/>
      <protection/>
    </xf>
    <xf numFmtId="49" fontId="24" fillId="0" borderId="20" xfId="0" applyNumberFormat="1" applyFont="1" applyFill="1" applyBorder="1" applyAlignment="1" applyProtection="1">
      <alignment horizontal="center" vertical="center"/>
      <protection locked="0"/>
    </xf>
    <xf numFmtId="0" fontId="5" fillId="51" borderId="20" xfId="0" applyNumberFormat="1" applyFont="1" applyFill="1" applyBorder="1" applyAlignment="1" applyProtection="1">
      <alignment horizontal="right" vertical="center"/>
      <protection/>
    </xf>
    <xf numFmtId="0" fontId="5" fillId="0" borderId="20" xfId="0" applyNumberFormat="1" applyFont="1" applyFill="1" applyBorder="1" applyAlignment="1" applyProtection="1">
      <alignment horizontal="right" vertical="center"/>
      <protection/>
    </xf>
    <xf numFmtId="3" fontId="5" fillId="51" borderId="20" xfId="0" applyNumberFormat="1" applyFont="1" applyFill="1" applyBorder="1" applyAlignment="1" applyProtection="1">
      <alignment horizontal="right" vertical="center"/>
      <protection locked="0"/>
    </xf>
    <xf numFmtId="220" fontId="5" fillId="51" borderId="20" xfId="0" applyNumberFormat="1" applyFont="1" applyFill="1" applyBorder="1" applyAlignment="1" applyProtection="1">
      <alignment horizontal="right" vertical="center"/>
      <protection/>
    </xf>
    <xf numFmtId="1" fontId="5" fillId="47" borderId="20" xfId="0" applyNumberFormat="1" applyFont="1" applyFill="1" applyBorder="1" applyAlignment="1" applyProtection="1">
      <alignment horizontal="right" vertical="center"/>
      <protection/>
    </xf>
    <xf numFmtId="3" fontId="5" fillId="47" borderId="21" xfId="0" applyNumberFormat="1" applyFont="1" applyFill="1" applyBorder="1" applyAlignment="1">
      <alignment horizontal="right"/>
    </xf>
    <xf numFmtId="1" fontId="5" fillId="51" borderId="20" xfId="0" applyNumberFormat="1" applyFont="1" applyFill="1" applyBorder="1" applyAlignment="1" applyProtection="1">
      <alignment horizontal="right" vertical="center"/>
      <protection/>
    </xf>
    <xf numFmtId="3" fontId="5" fillId="51" borderId="21" xfId="0" applyNumberFormat="1" applyFont="1" applyFill="1" applyBorder="1" applyAlignment="1">
      <alignment horizontal="right"/>
    </xf>
    <xf numFmtId="1" fontId="5" fillId="47" borderId="20" xfId="0" applyNumberFormat="1" applyFont="1" applyFill="1" applyBorder="1" applyAlignment="1" applyProtection="1">
      <alignment vertical="center"/>
      <protection/>
    </xf>
    <xf numFmtId="3" fontId="5" fillId="47" borderId="21" xfId="0" applyNumberFormat="1" applyFont="1" applyFill="1" applyBorder="1" applyAlignment="1">
      <alignment/>
    </xf>
    <xf numFmtId="9" fontId="5" fillId="47" borderId="20" xfId="0" applyNumberFormat="1" applyFont="1" applyFill="1" applyBorder="1" applyAlignment="1" applyProtection="1">
      <alignment vertical="center"/>
      <protection/>
    </xf>
    <xf numFmtId="213" fontId="5" fillId="0" borderId="20" xfId="0" applyNumberFormat="1" applyFont="1" applyFill="1" applyBorder="1" applyAlignment="1" applyProtection="1">
      <alignment horizontal="right" vertical="center"/>
      <protection/>
    </xf>
    <xf numFmtId="213" fontId="5" fillId="0" borderId="20" xfId="0" applyNumberFormat="1" applyFont="1" applyFill="1" applyBorder="1" applyAlignment="1" applyProtection="1">
      <alignment horizontal="right"/>
      <protection/>
    </xf>
    <xf numFmtId="219" fontId="5" fillId="47" borderId="20" xfId="0" applyNumberFormat="1" applyFont="1" applyFill="1" applyBorder="1" applyAlignment="1" applyProtection="1">
      <alignment horizontal="right" vertical="center"/>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rmal_Sheet1" xfId="140"/>
    <cellStyle name="Normal_Sheet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60" t="s">
        <v>26</v>
      </c>
      <c r="B1" s="560"/>
      <c r="C1" s="557" t="s">
        <v>70</v>
      </c>
      <c r="D1" s="557"/>
      <c r="E1" s="557"/>
      <c r="F1" s="561" t="s">
        <v>66</v>
      </c>
      <c r="G1" s="561"/>
      <c r="H1" s="561"/>
    </row>
    <row r="2" spans="1:8" ht="33.75" customHeight="1">
      <c r="A2" s="562" t="s">
        <v>73</v>
      </c>
      <c r="B2" s="562"/>
      <c r="C2" s="557"/>
      <c r="D2" s="557"/>
      <c r="E2" s="557"/>
      <c r="F2" s="554" t="s">
        <v>67</v>
      </c>
      <c r="G2" s="554"/>
      <c r="H2" s="554"/>
    </row>
    <row r="3" spans="1:8" ht="19.5" customHeight="1">
      <c r="A3" s="6" t="s">
        <v>61</v>
      </c>
      <c r="B3" s="6"/>
      <c r="C3" s="24"/>
      <c r="D3" s="24"/>
      <c r="E3" s="24"/>
      <c r="F3" s="554" t="s">
        <v>68</v>
      </c>
      <c r="G3" s="554"/>
      <c r="H3" s="554"/>
    </row>
    <row r="4" spans="1:8" s="7" customFormat="1" ht="19.5" customHeight="1">
      <c r="A4" s="6"/>
      <c r="B4" s="6"/>
      <c r="D4" s="8"/>
      <c r="F4" s="9" t="s">
        <v>69</v>
      </c>
      <c r="G4" s="9"/>
      <c r="H4" s="9"/>
    </row>
    <row r="5" spans="1:8" s="23" customFormat="1" ht="36" customHeight="1">
      <c r="A5" s="573" t="s">
        <v>53</v>
      </c>
      <c r="B5" s="574"/>
      <c r="C5" s="577" t="s">
        <v>64</v>
      </c>
      <c r="D5" s="578"/>
      <c r="E5" s="579" t="s">
        <v>63</v>
      </c>
      <c r="F5" s="579"/>
      <c r="G5" s="579"/>
      <c r="H5" s="556"/>
    </row>
    <row r="6" spans="1:8" s="23" customFormat="1" ht="20.25" customHeight="1">
      <c r="A6" s="575"/>
      <c r="B6" s="576"/>
      <c r="C6" s="558" t="s">
        <v>3</v>
      </c>
      <c r="D6" s="558" t="s">
        <v>71</v>
      </c>
      <c r="E6" s="555" t="s">
        <v>65</v>
      </c>
      <c r="F6" s="556"/>
      <c r="G6" s="555" t="s">
        <v>72</v>
      </c>
      <c r="H6" s="556"/>
    </row>
    <row r="7" spans="1:8" s="23" customFormat="1" ht="52.5" customHeight="1">
      <c r="A7" s="575"/>
      <c r="B7" s="576"/>
      <c r="C7" s="559"/>
      <c r="D7" s="559"/>
      <c r="E7" s="5" t="s">
        <v>3</v>
      </c>
      <c r="F7" s="5" t="s">
        <v>9</v>
      </c>
      <c r="G7" s="5" t="s">
        <v>3</v>
      </c>
      <c r="H7" s="5" t="s">
        <v>9</v>
      </c>
    </row>
    <row r="8" spans="1:8" ht="15" customHeight="1">
      <c r="A8" s="564" t="s">
        <v>6</v>
      </c>
      <c r="B8" s="565"/>
      <c r="C8" s="10">
        <v>1</v>
      </c>
      <c r="D8" s="10" t="s">
        <v>44</v>
      </c>
      <c r="E8" s="10" t="s">
        <v>45</v>
      </c>
      <c r="F8" s="10" t="s">
        <v>54</v>
      </c>
      <c r="G8" s="10" t="s">
        <v>55</v>
      </c>
      <c r="H8" s="10" t="s">
        <v>56</v>
      </c>
    </row>
    <row r="9" spans="1:8" ht="26.25" customHeight="1">
      <c r="A9" s="566" t="s">
        <v>33</v>
      </c>
      <c r="B9" s="567"/>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68" t="s">
        <v>52</v>
      </c>
      <c r="C16" s="568"/>
      <c r="D16" s="26"/>
      <c r="E16" s="570" t="s">
        <v>19</v>
      </c>
      <c r="F16" s="570"/>
      <c r="G16" s="570"/>
      <c r="H16" s="570"/>
    </row>
    <row r="17" spans="2:8" ht="15.75" customHeight="1">
      <c r="B17" s="568"/>
      <c r="C17" s="568"/>
      <c r="D17" s="26"/>
      <c r="E17" s="571" t="s">
        <v>38</v>
      </c>
      <c r="F17" s="571"/>
      <c r="G17" s="571"/>
      <c r="H17" s="571"/>
    </row>
    <row r="18" spans="2:8" s="27" customFormat="1" ht="15.75" customHeight="1">
      <c r="B18" s="568"/>
      <c r="C18" s="568"/>
      <c r="D18" s="28"/>
      <c r="E18" s="572" t="s">
        <v>51</v>
      </c>
      <c r="F18" s="572"/>
      <c r="G18" s="572"/>
      <c r="H18" s="572"/>
    </row>
    <row r="20" ht="15.75">
      <c r="B20" s="19"/>
    </row>
    <row r="22" ht="15.75" hidden="1">
      <c r="A22" s="20" t="s">
        <v>41</v>
      </c>
    </row>
    <row r="23" spans="1:3" ht="15.75" hidden="1">
      <c r="A23" s="21"/>
      <c r="B23" s="569" t="s">
        <v>46</v>
      </c>
      <c r="C23" s="569"/>
    </row>
    <row r="24" spans="1:8" ht="15.75" customHeight="1" hidden="1">
      <c r="A24" s="22" t="s">
        <v>25</v>
      </c>
      <c r="B24" s="563" t="s">
        <v>49</v>
      </c>
      <c r="C24" s="563"/>
      <c r="D24" s="22"/>
      <c r="E24" s="22"/>
      <c r="F24" s="22"/>
      <c r="G24" s="22"/>
      <c r="H24" s="22"/>
    </row>
    <row r="25" spans="1:8" ht="15" customHeight="1" hidden="1">
      <c r="A25" s="22"/>
      <c r="B25" s="563" t="s">
        <v>50</v>
      </c>
      <c r="C25" s="563"/>
      <c r="D25" s="563"/>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55" t="s">
        <v>212</v>
      </c>
      <c r="B1" s="755"/>
      <c r="C1" s="755"/>
      <c r="D1" s="758" t="s">
        <v>328</v>
      </c>
      <c r="E1" s="758"/>
      <c r="F1" s="758"/>
      <c r="G1" s="758"/>
      <c r="H1" s="758"/>
      <c r="I1" s="758"/>
      <c r="J1" s="191" t="s">
        <v>329</v>
      </c>
      <c r="K1" s="322"/>
      <c r="L1" s="322"/>
    </row>
    <row r="2" spans="1:12" ht="18.75" customHeight="1">
      <c r="A2" s="756" t="s">
        <v>287</v>
      </c>
      <c r="B2" s="756"/>
      <c r="C2" s="756"/>
      <c r="D2" s="846" t="s">
        <v>213</v>
      </c>
      <c r="E2" s="846"/>
      <c r="F2" s="846"/>
      <c r="G2" s="846"/>
      <c r="H2" s="846"/>
      <c r="I2" s="846"/>
      <c r="J2" s="755" t="s">
        <v>330</v>
      </c>
      <c r="K2" s="755"/>
      <c r="L2" s="755"/>
    </row>
    <row r="3" spans="1:12" ht="17.25">
      <c r="A3" s="756" t="s">
        <v>239</v>
      </c>
      <c r="B3" s="756"/>
      <c r="C3" s="756"/>
      <c r="D3" s="847" t="s">
        <v>331</v>
      </c>
      <c r="E3" s="848"/>
      <c r="F3" s="848"/>
      <c r="G3" s="848"/>
      <c r="H3" s="848"/>
      <c r="I3" s="848"/>
      <c r="J3" s="194" t="s">
        <v>347</v>
      </c>
      <c r="K3" s="194"/>
      <c r="L3" s="194"/>
    </row>
    <row r="4" spans="1:12" ht="15.75">
      <c r="A4" s="843" t="s">
        <v>332</v>
      </c>
      <c r="B4" s="843"/>
      <c r="C4" s="843"/>
      <c r="D4" s="844"/>
      <c r="E4" s="844"/>
      <c r="F4" s="844"/>
      <c r="G4" s="844"/>
      <c r="H4" s="844"/>
      <c r="I4" s="844"/>
      <c r="J4" s="772" t="s">
        <v>289</v>
      </c>
      <c r="K4" s="772"/>
      <c r="L4" s="772"/>
    </row>
    <row r="5" spans="1:13" ht="15.75">
      <c r="A5" s="324"/>
      <c r="B5" s="324"/>
      <c r="C5" s="325"/>
      <c r="D5" s="325"/>
      <c r="E5" s="193"/>
      <c r="J5" s="326" t="s">
        <v>333</v>
      </c>
      <c r="K5" s="241"/>
      <c r="L5" s="241"/>
      <c r="M5" s="241"/>
    </row>
    <row r="6" spans="1:13" s="329" customFormat="1" ht="24.75" customHeight="1">
      <c r="A6" s="837" t="s">
        <v>53</v>
      </c>
      <c r="B6" s="838"/>
      <c r="C6" s="835" t="s">
        <v>334</v>
      </c>
      <c r="D6" s="835"/>
      <c r="E6" s="835"/>
      <c r="F6" s="835"/>
      <c r="G6" s="835"/>
      <c r="H6" s="835"/>
      <c r="I6" s="835" t="s">
        <v>214</v>
      </c>
      <c r="J6" s="835"/>
      <c r="K6" s="835"/>
      <c r="L6" s="835"/>
      <c r="M6" s="328"/>
    </row>
    <row r="7" spans="1:13" s="329" customFormat="1" ht="17.25" customHeight="1">
      <c r="A7" s="839"/>
      <c r="B7" s="840"/>
      <c r="C7" s="835" t="s">
        <v>31</v>
      </c>
      <c r="D7" s="835"/>
      <c r="E7" s="835" t="s">
        <v>7</v>
      </c>
      <c r="F7" s="835"/>
      <c r="G7" s="835"/>
      <c r="H7" s="835"/>
      <c r="I7" s="835" t="s">
        <v>215</v>
      </c>
      <c r="J7" s="835"/>
      <c r="K7" s="835" t="s">
        <v>216</v>
      </c>
      <c r="L7" s="835"/>
      <c r="M7" s="328"/>
    </row>
    <row r="8" spans="1:12" s="329" customFormat="1" ht="27.75" customHeight="1">
      <c r="A8" s="839"/>
      <c r="B8" s="840"/>
      <c r="C8" s="835"/>
      <c r="D8" s="835"/>
      <c r="E8" s="835" t="s">
        <v>217</v>
      </c>
      <c r="F8" s="835"/>
      <c r="G8" s="835" t="s">
        <v>218</v>
      </c>
      <c r="H8" s="835"/>
      <c r="I8" s="835"/>
      <c r="J8" s="835"/>
      <c r="K8" s="835"/>
      <c r="L8" s="835"/>
    </row>
    <row r="9" spans="1:12" s="329" customFormat="1" ht="24.75" customHeight="1">
      <c r="A9" s="841"/>
      <c r="B9" s="842"/>
      <c r="C9" s="327" t="s">
        <v>219</v>
      </c>
      <c r="D9" s="327" t="s">
        <v>9</v>
      </c>
      <c r="E9" s="327" t="s">
        <v>3</v>
      </c>
      <c r="F9" s="327" t="s">
        <v>220</v>
      </c>
      <c r="G9" s="327" t="s">
        <v>3</v>
      </c>
      <c r="H9" s="327" t="s">
        <v>220</v>
      </c>
      <c r="I9" s="327" t="s">
        <v>3</v>
      </c>
      <c r="J9" s="327" t="s">
        <v>220</v>
      </c>
      <c r="K9" s="327" t="s">
        <v>3</v>
      </c>
      <c r="L9" s="327" t="s">
        <v>220</v>
      </c>
    </row>
    <row r="10" spans="1:12" s="331" customFormat="1" ht="15.75">
      <c r="A10" s="739" t="s">
        <v>6</v>
      </c>
      <c r="B10" s="740"/>
      <c r="C10" s="330">
        <v>1</v>
      </c>
      <c r="D10" s="330">
        <v>2</v>
      </c>
      <c r="E10" s="330">
        <v>3</v>
      </c>
      <c r="F10" s="330">
        <v>4</v>
      </c>
      <c r="G10" s="330">
        <v>5</v>
      </c>
      <c r="H10" s="330">
        <v>6</v>
      </c>
      <c r="I10" s="330">
        <v>7</v>
      </c>
      <c r="J10" s="330">
        <v>8</v>
      </c>
      <c r="K10" s="330">
        <v>9</v>
      </c>
      <c r="L10" s="330">
        <v>10</v>
      </c>
    </row>
    <row r="11" spans="1:12" s="331" customFormat="1" ht="30.75" customHeight="1">
      <c r="A11" s="747" t="s">
        <v>284</v>
      </c>
      <c r="B11" s="74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52" t="s">
        <v>285</v>
      </c>
      <c r="B12" s="753"/>
      <c r="C12" s="249">
        <v>0</v>
      </c>
      <c r="D12" s="249">
        <v>0</v>
      </c>
      <c r="E12" s="249">
        <v>0</v>
      </c>
      <c r="F12" s="249">
        <v>0</v>
      </c>
      <c r="G12" s="249">
        <v>0</v>
      </c>
      <c r="H12" s="249">
        <v>0</v>
      </c>
      <c r="I12" s="249">
        <v>0</v>
      </c>
      <c r="J12" s="249">
        <v>0</v>
      </c>
      <c r="K12" s="249">
        <v>0</v>
      </c>
      <c r="L12" s="249">
        <v>0</v>
      </c>
    </row>
    <row r="13" spans="1:32" s="331" customFormat="1" ht="17.25" customHeight="1">
      <c r="A13" s="733" t="s">
        <v>30</v>
      </c>
      <c r="B13" s="734"/>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0" t="s">
        <v>272</v>
      </c>
      <c r="C28" s="750"/>
      <c r="D28" s="750"/>
      <c r="E28" s="204"/>
      <c r="F28" s="258"/>
      <c r="G28" s="258"/>
      <c r="H28" s="749" t="s">
        <v>272</v>
      </c>
      <c r="I28" s="749"/>
      <c r="J28" s="749"/>
      <c r="K28" s="749"/>
      <c r="L28" s="749"/>
      <c r="AG28" s="192" t="s">
        <v>273</v>
      </c>
      <c r="AI28" s="190">
        <f>82/88</f>
        <v>0.9318181818181818</v>
      </c>
    </row>
    <row r="29" spans="1:12" s="192" customFormat="1" ht="19.5" customHeight="1">
      <c r="A29" s="202"/>
      <c r="B29" s="751" t="s">
        <v>221</v>
      </c>
      <c r="C29" s="751"/>
      <c r="D29" s="751"/>
      <c r="E29" s="204"/>
      <c r="F29" s="205"/>
      <c r="G29" s="205"/>
      <c r="H29" s="754" t="s">
        <v>139</v>
      </c>
      <c r="I29" s="754"/>
      <c r="J29" s="754"/>
      <c r="K29" s="754"/>
      <c r="L29" s="754"/>
    </row>
    <row r="30" spans="1:12" s="196" customFormat="1" ht="15" customHeight="1">
      <c r="A30" s="202"/>
      <c r="B30" s="836"/>
      <c r="C30" s="836"/>
      <c r="D30" s="836"/>
      <c r="E30" s="204"/>
      <c r="F30" s="205"/>
      <c r="G30" s="205"/>
      <c r="H30" s="708"/>
      <c r="I30" s="708"/>
      <c r="J30" s="708"/>
      <c r="K30" s="708"/>
      <c r="L30" s="708"/>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4" t="s">
        <v>276</v>
      </c>
      <c r="C33" s="834"/>
      <c r="D33" s="834"/>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5" t="s">
        <v>222</v>
      </c>
      <c r="C37" s="845"/>
      <c r="D37" s="845"/>
      <c r="E37" s="845"/>
      <c r="F37" s="845"/>
      <c r="G37" s="845"/>
      <c r="H37" s="845"/>
      <c r="I37" s="845"/>
      <c r="J37" s="845"/>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80" t="s">
        <v>318</v>
      </c>
      <c r="C41" s="580"/>
      <c r="D41" s="580"/>
      <c r="E41" s="210"/>
      <c r="F41" s="210"/>
      <c r="G41" s="182"/>
      <c r="H41" s="581" t="s">
        <v>230</v>
      </c>
      <c r="I41" s="581"/>
      <c r="J41" s="581"/>
      <c r="K41" s="581"/>
      <c r="L41" s="581"/>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49" t="s">
        <v>360</v>
      </c>
      <c r="M1" s="850"/>
      <c r="N1" s="850"/>
      <c r="O1" s="365"/>
      <c r="P1" s="365"/>
      <c r="Q1" s="365"/>
      <c r="R1" s="365"/>
      <c r="S1" s="365"/>
      <c r="T1" s="365"/>
      <c r="U1" s="365"/>
      <c r="V1" s="365"/>
      <c r="W1" s="365"/>
      <c r="X1" s="365"/>
      <c r="Y1" s="366"/>
    </row>
    <row r="2" spans="11:17" ht="34.5" customHeight="1">
      <c r="K2" s="349"/>
      <c r="L2" s="851" t="s">
        <v>367</v>
      </c>
      <c r="M2" s="852"/>
      <c r="N2" s="853"/>
      <c r="O2" s="29"/>
      <c r="P2" s="351"/>
      <c r="Q2" s="347"/>
    </row>
    <row r="3" spans="11:18" ht="31.5" customHeight="1">
      <c r="K3" s="349"/>
      <c r="L3" s="354" t="s">
        <v>376</v>
      </c>
      <c r="M3" s="355">
        <f>'06'!C11</f>
        <v>4879</v>
      </c>
      <c r="N3" s="355"/>
      <c r="O3" s="355"/>
      <c r="P3" s="352"/>
      <c r="Q3" s="348"/>
      <c r="R3" s="345"/>
    </row>
    <row r="4" spans="11:18" ht="30" customHeight="1">
      <c r="K4" s="349"/>
      <c r="L4" s="356" t="s">
        <v>361</v>
      </c>
      <c r="M4" s="357">
        <f>'06'!D11</f>
        <v>1580</v>
      </c>
      <c r="N4" s="355"/>
      <c r="O4" s="355"/>
      <c r="P4" s="352"/>
      <c r="Q4" s="348"/>
      <c r="R4" s="345"/>
    </row>
    <row r="5" spans="11:18" ht="31.5" customHeight="1">
      <c r="K5" s="349"/>
      <c r="L5" s="356" t="s">
        <v>362</v>
      </c>
      <c r="M5" s="357">
        <f>'06'!E11</f>
        <v>3299</v>
      </c>
      <c r="N5" s="355"/>
      <c r="O5" s="355"/>
      <c r="P5" s="352"/>
      <c r="Q5" s="348"/>
      <c r="R5" s="345"/>
    </row>
    <row r="6" spans="11:18" ht="27" customHeight="1">
      <c r="K6" s="349"/>
      <c r="L6" s="354" t="s">
        <v>363</v>
      </c>
      <c r="M6" s="355">
        <f>'06'!F11</f>
        <v>30</v>
      </c>
      <c r="N6" s="355"/>
      <c r="O6" s="355"/>
      <c r="P6" s="352"/>
      <c r="Q6" s="348"/>
      <c r="R6" s="345"/>
    </row>
    <row r="7" spans="11:18" s="342" customFormat="1" ht="30" customHeight="1">
      <c r="K7" s="350"/>
      <c r="L7" s="358" t="s">
        <v>379</v>
      </c>
      <c r="M7" s="355">
        <f>'06'!H11</f>
        <v>4849</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2.256548018804567</v>
      </c>
      <c r="N9" s="355"/>
      <c r="O9" s="355"/>
      <c r="P9" s="352"/>
      <c r="Q9" s="348"/>
      <c r="R9" s="345"/>
    </row>
    <row r="10" spans="11:18" ht="33" customHeight="1">
      <c r="K10" s="349"/>
      <c r="L10" s="354" t="s">
        <v>380</v>
      </c>
      <c r="M10" s="355">
        <f>'06'!I11</f>
        <v>3572</v>
      </c>
      <c r="N10" s="355" t="s">
        <v>364</v>
      </c>
      <c r="O10" s="361">
        <f>M10/M7</f>
        <v>0.736646731284801</v>
      </c>
      <c r="P10" s="352"/>
      <c r="Q10" s="348"/>
      <c r="R10" s="345"/>
    </row>
    <row r="11" spans="11:18" ht="22.5" customHeight="1">
      <c r="K11" s="349"/>
      <c r="L11" s="354" t="s">
        <v>382</v>
      </c>
      <c r="M11" s="355">
        <f>'06'!Q11</f>
        <v>1277</v>
      </c>
      <c r="N11" s="355" t="s">
        <v>364</v>
      </c>
      <c r="O11" s="361">
        <f>M11/M7</f>
        <v>0.263353268715199</v>
      </c>
      <c r="P11" s="352"/>
      <c r="Q11" s="348"/>
      <c r="R11" s="345"/>
    </row>
    <row r="12" spans="11:18" ht="34.5" customHeight="1">
      <c r="K12" s="349"/>
      <c r="L12" s="354" t="s">
        <v>383</v>
      </c>
      <c r="M12" s="355">
        <f>'06'!J11+'06'!K11</f>
        <v>3005</v>
      </c>
      <c r="N12" s="354"/>
      <c r="O12" s="354"/>
      <c r="P12" s="346"/>
      <c r="R12" s="346"/>
    </row>
    <row r="13" spans="11:18" ht="33.75" customHeight="1">
      <c r="K13" s="349"/>
      <c r="L13" s="354" t="s">
        <v>384</v>
      </c>
      <c r="M13" s="361">
        <f>M12/M7</f>
        <v>0.6197154052381935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0.11669324271300874</v>
      </c>
      <c r="N18" s="355"/>
      <c r="O18" s="355"/>
      <c r="P18" s="352"/>
      <c r="R18" s="346"/>
    </row>
    <row r="19" spans="11:18" ht="24.75" customHeight="1">
      <c r="K19" s="349"/>
      <c r="L19" s="354" t="s">
        <v>387</v>
      </c>
      <c r="M19" s="355">
        <f>'06'!J11</f>
        <v>2947</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0.8250279955207167</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0.15236612501711955</v>
      </c>
      <c r="N30" s="355"/>
      <c r="O30" s="355"/>
      <c r="P30" s="352"/>
      <c r="R30" s="346"/>
    </row>
    <row r="31" spans="11:18" ht="24.75" customHeight="1">
      <c r="K31" s="349"/>
      <c r="L31" s="354" t="s">
        <v>391</v>
      </c>
      <c r="M31" s="355">
        <f>'06'!R11</f>
        <v>1844</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1125</v>
      </c>
      <c r="N33" s="369" t="s">
        <v>366</v>
      </c>
      <c r="O33" s="368">
        <f>(M31-M32)/M32</f>
        <v>1.564673157162726</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123551612</v>
      </c>
      <c r="N42" s="355"/>
      <c r="O42" s="355"/>
      <c r="P42" s="346"/>
      <c r="R42" s="346"/>
    </row>
    <row r="43" spans="11:18" ht="24.75" customHeight="1">
      <c r="K43" s="349"/>
      <c r="L43" s="363" t="s">
        <v>96</v>
      </c>
      <c r="M43" s="355">
        <f>'07'!D11</f>
        <v>95712620</v>
      </c>
      <c r="N43" s="355"/>
      <c r="O43" s="355"/>
      <c r="P43" s="346"/>
      <c r="R43" s="346"/>
    </row>
    <row r="44" spans="11:18" ht="24.75" customHeight="1">
      <c r="K44" s="349"/>
      <c r="L44" s="363" t="s">
        <v>362</v>
      </c>
      <c r="M44" s="355">
        <f>'07'!E11</f>
        <v>27838992</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7971556</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115580056</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61352233.558</v>
      </c>
      <c r="N52" s="355"/>
      <c r="O52" s="355"/>
      <c r="P52" s="346"/>
      <c r="R52" s="346"/>
    </row>
    <row r="53" spans="11:18" ht="24.75" customHeight="1">
      <c r="K53" s="349"/>
      <c r="L53" s="377" t="s">
        <v>370</v>
      </c>
      <c r="M53" s="368">
        <f>(M52/M51)</f>
        <v>1.1313792587489566</v>
      </c>
      <c r="N53" s="355"/>
      <c r="O53" s="355"/>
      <c r="P53" s="346"/>
      <c r="R53" s="346"/>
    </row>
    <row r="54" spans="11:18" ht="24.75" customHeight="1">
      <c r="K54" s="349"/>
      <c r="L54" s="363" t="s">
        <v>398</v>
      </c>
      <c r="M54" s="355">
        <f>'07'!I11</f>
        <v>53399824</v>
      </c>
      <c r="N54" s="355" t="s">
        <v>371</v>
      </c>
      <c r="O54" s="361">
        <f>'07'!I11/'07'!H11</f>
        <v>0.46201590350501304</v>
      </c>
      <c r="P54" s="346"/>
      <c r="R54" s="346"/>
    </row>
    <row r="55" spans="11:18" ht="24.75" customHeight="1">
      <c r="K55" s="349"/>
      <c r="L55" s="363" t="s">
        <v>399</v>
      </c>
      <c r="M55" s="355">
        <f>'07'!R11</f>
        <v>62180232</v>
      </c>
      <c r="N55" s="355" t="s">
        <v>371</v>
      </c>
      <c r="O55" s="361">
        <f>'07'!R11/'07'!H11</f>
        <v>0.537984096494987</v>
      </c>
      <c r="P55" s="346"/>
      <c r="R55" s="346"/>
    </row>
    <row r="56" spans="11:18" ht="24.75" customHeight="1">
      <c r="K56" s="349"/>
      <c r="L56" s="363" t="s">
        <v>400</v>
      </c>
      <c r="M56" s="355">
        <f>'07'!J11+'07'!K11+'07'!L11</f>
        <v>15388915</v>
      </c>
      <c r="N56" s="355" t="s">
        <v>371</v>
      </c>
      <c r="O56" s="361">
        <f>M56/'07'!H11</f>
        <v>0.1331450730565488</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0.09224860330853346</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12192483</v>
      </c>
      <c r="N63" s="355" t="s">
        <v>372</v>
      </c>
      <c r="O63" s="361">
        <f>'07'!J11/'07'!I11</f>
        <v>0.22832440421526484</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0.21408090289545118</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100191141</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52064330.638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1.0818155254084527</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4">
      <selection activeCell="B8" sqref="B8"/>
    </sheetView>
  </sheetViews>
  <sheetFormatPr defaultColWidth="9.00390625" defaultRowHeight="15.75"/>
  <cols>
    <col min="1" max="1" width="23.50390625" style="0" customWidth="1"/>
    <col min="2" max="2" width="66.125" style="0" customWidth="1"/>
  </cols>
  <sheetData>
    <row r="2" spans="1:2" ht="62.25" customHeight="1">
      <c r="A2" s="854" t="s">
        <v>421</v>
      </c>
      <c r="B2" s="854"/>
    </row>
    <row r="3" spans="1:2" ht="22.5" customHeight="1">
      <c r="A3" s="399" t="s">
        <v>409</v>
      </c>
      <c r="B3" s="400" t="s">
        <v>484</v>
      </c>
    </row>
    <row r="4" spans="1:2" ht="22.5" customHeight="1">
      <c r="A4" s="399" t="s">
        <v>408</v>
      </c>
      <c r="B4" s="400" t="s">
        <v>467</v>
      </c>
    </row>
    <row r="5" spans="1:2" ht="22.5" customHeight="1">
      <c r="A5" s="399" t="s">
        <v>410</v>
      </c>
      <c r="B5" s="434" t="s">
        <v>469</v>
      </c>
    </row>
    <row r="6" spans="1:2" ht="22.5" customHeight="1">
      <c r="A6" s="399" t="s">
        <v>411</v>
      </c>
      <c r="B6" s="415" t="s">
        <v>465</v>
      </c>
    </row>
    <row r="7" spans="1:2" ht="22.5" customHeight="1">
      <c r="A7" s="399" t="s">
        <v>412</v>
      </c>
      <c r="B7" s="415" t="s">
        <v>377</v>
      </c>
    </row>
    <row r="8" spans="1:2" ht="15.75">
      <c r="A8" s="401" t="s">
        <v>413</v>
      </c>
      <c r="B8" s="435" t="s">
        <v>485</v>
      </c>
    </row>
    <row r="10" spans="1:2" ht="62.25" customHeight="1">
      <c r="A10" s="855" t="s">
        <v>422</v>
      </c>
      <c r="B10" s="855"/>
    </row>
    <row r="11" spans="1:2" ht="15.75">
      <c r="A11" s="856" t="s">
        <v>420</v>
      </c>
      <c r="B11" s="85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75"/>
  <sheetViews>
    <sheetView showZeros="0" tabSelected="1" zoomScale="85" zoomScaleNormal="85" zoomScaleSheetLayoutView="85" zoomScalePageLayoutView="0" workbookViewId="0" topLeftCell="A4">
      <pane xSplit="1" ySplit="7" topLeftCell="B23" activePane="bottomRight" state="frozen"/>
      <selection pane="topLeft" activeCell="A4" sqref="A4"/>
      <selection pane="topRight" activeCell="B4" sqref="B4"/>
      <selection pane="bottomLeft" activeCell="A11" sqref="A11"/>
      <selection pane="bottomRight" activeCell="J12" sqref="J12"/>
    </sheetView>
  </sheetViews>
  <sheetFormatPr defaultColWidth="9.00390625" defaultRowHeight="15.75"/>
  <cols>
    <col min="1" max="1" width="4.125" style="382" customWidth="1"/>
    <col min="2" max="2" width="16.50390625" style="382" customWidth="1"/>
    <col min="3" max="3" width="10.50390625" style="382" customWidth="1"/>
    <col min="4" max="4" width="11.375" style="382" customWidth="1"/>
    <col min="5" max="5" width="11.125" style="382" customWidth="1"/>
    <col min="6" max="6" width="8.125" style="382" customWidth="1"/>
    <col min="7" max="7" width="6.625" style="382" customWidth="1"/>
    <col min="8" max="8" width="9.75390625" style="382" customWidth="1"/>
    <col min="9" max="9" width="10.875" style="382" customWidth="1"/>
    <col min="10" max="10" width="9.75390625" style="382" customWidth="1"/>
    <col min="11" max="11" width="8.75390625" style="382" customWidth="1"/>
    <col min="12" max="12" width="7.00390625" style="382" customWidth="1"/>
    <col min="13" max="13" width="9.75390625" style="382" customWidth="1"/>
    <col min="14" max="14" width="9.125" style="382" customWidth="1"/>
    <col min="15" max="15" width="5.875" style="382" customWidth="1"/>
    <col min="16" max="16" width="5.00390625" style="382" customWidth="1"/>
    <col min="17" max="17" width="7.375" style="382" customWidth="1"/>
    <col min="18" max="18" width="9.25390625" style="382" customWidth="1"/>
    <col min="19" max="19" width="9.875" style="382" customWidth="1"/>
    <col min="20" max="20" width="6.50390625" style="382" customWidth="1"/>
    <col min="21" max="16384" width="9.00390625" style="382" customWidth="1"/>
  </cols>
  <sheetData>
    <row r="1" spans="1:20" s="384" customFormat="1" ht="20.25" customHeight="1">
      <c r="A1" s="417" t="s">
        <v>28</v>
      </c>
      <c r="B1" s="417"/>
      <c r="C1" s="417"/>
      <c r="D1" s="418"/>
      <c r="E1" s="876" t="s">
        <v>466</v>
      </c>
      <c r="F1" s="876"/>
      <c r="G1" s="876"/>
      <c r="H1" s="876"/>
      <c r="I1" s="876"/>
      <c r="J1" s="876"/>
      <c r="K1" s="876"/>
      <c r="L1" s="876"/>
      <c r="M1" s="876"/>
      <c r="N1" s="876"/>
      <c r="O1" s="876"/>
      <c r="P1" s="876"/>
      <c r="Q1" s="419" t="s">
        <v>418</v>
      </c>
      <c r="R1" s="419"/>
      <c r="S1" s="419"/>
      <c r="T1" s="419"/>
    </row>
    <row r="2" spans="1:20" ht="17.25" customHeight="1">
      <c r="A2" s="868" t="s">
        <v>226</v>
      </c>
      <c r="B2" s="868"/>
      <c r="C2" s="868"/>
      <c r="D2" s="868"/>
      <c r="E2" s="557" t="s">
        <v>34</v>
      </c>
      <c r="F2" s="557"/>
      <c r="G2" s="557"/>
      <c r="H2" s="557"/>
      <c r="I2" s="557"/>
      <c r="J2" s="557"/>
      <c r="K2" s="557"/>
      <c r="L2" s="557"/>
      <c r="M2" s="557"/>
      <c r="N2" s="557"/>
      <c r="O2" s="557"/>
      <c r="P2" s="557"/>
      <c r="Q2" s="883" t="str">
        <f>'Thong tin'!B4</f>
        <v>Cục THADS tỉnh Tuyên Quang</v>
      </c>
      <c r="R2" s="883"/>
      <c r="S2" s="883"/>
      <c r="T2" s="883"/>
    </row>
    <row r="3" spans="1:20" s="384" customFormat="1" ht="18" customHeight="1">
      <c r="A3" s="868" t="s">
        <v>227</v>
      </c>
      <c r="B3" s="868"/>
      <c r="C3" s="868"/>
      <c r="D3" s="868"/>
      <c r="E3" s="877" t="str">
        <f>'Thong tin'!B3</f>
        <v>08 tháng / năm 2018</v>
      </c>
      <c r="F3" s="877"/>
      <c r="G3" s="877"/>
      <c r="H3" s="877"/>
      <c r="I3" s="877"/>
      <c r="J3" s="877"/>
      <c r="K3" s="877"/>
      <c r="L3" s="877"/>
      <c r="M3" s="877"/>
      <c r="N3" s="877"/>
      <c r="O3" s="877"/>
      <c r="P3" s="877"/>
      <c r="Q3" s="419" t="s">
        <v>468</v>
      </c>
      <c r="R3" s="417"/>
      <c r="S3" s="419"/>
      <c r="T3" s="419"/>
    </row>
    <row r="4" spans="1:20" ht="14.25" customHeight="1">
      <c r="A4" s="420" t="s">
        <v>105</v>
      </c>
      <c r="B4" s="417"/>
      <c r="C4" s="417"/>
      <c r="D4" s="417"/>
      <c r="E4" s="417"/>
      <c r="F4" s="417"/>
      <c r="G4" s="417"/>
      <c r="H4" s="417"/>
      <c r="I4" s="417"/>
      <c r="J4" s="417"/>
      <c r="K4" s="417"/>
      <c r="L4" s="417"/>
      <c r="M4" s="417"/>
      <c r="N4" s="417"/>
      <c r="O4" s="421"/>
      <c r="P4" s="421"/>
      <c r="Q4" s="870" t="s">
        <v>289</v>
      </c>
      <c r="R4" s="870"/>
      <c r="S4" s="870"/>
      <c r="T4" s="870"/>
    </row>
    <row r="5" spans="1:20" s="384" customFormat="1" ht="21.75" customHeight="1" thickBot="1">
      <c r="A5" s="418"/>
      <c r="B5" s="422"/>
      <c r="C5" s="422"/>
      <c r="D5" s="418"/>
      <c r="E5" s="418"/>
      <c r="F5" s="418"/>
      <c r="G5" s="418"/>
      <c r="H5" s="418"/>
      <c r="I5" s="418"/>
      <c r="J5" s="418"/>
      <c r="K5" s="423"/>
      <c r="L5" s="418"/>
      <c r="M5" s="418"/>
      <c r="N5" s="418"/>
      <c r="O5" s="418"/>
      <c r="P5" s="418"/>
      <c r="Q5" s="863" t="s">
        <v>419</v>
      </c>
      <c r="R5" s="863"/>
      <c r="S5" s="863"/>
      <c r="T5" s="863"/>
    </row>
    <row r="6" spans="1:36" s="384" customFormat="1" ht="18.75" customHeight="1" thickTop="1">
      <c r="A6" s="859" t="s">
        <v>53</v>
      </c>
      <c r="B6" s="860"/>
      <c r="C6" s="881" t="s">
        <v>106</v>
      </c>
      <c r="D6" s="881"/>
      <c r="E6" s="881"/>
      <c r="F6" s="878" t="s">
        <v>97</v>
      </c>
      <c r="G6" s="878" t="s">
        <v>107</v>
      </c>
      <c r="H6" s="880" t="s">
        <v>98</v>
      </c>
      <c r="I6" s="880"/>
      <c r="J6" s="880"/>
      <c r="K6" s="880"/>
      <c r="L6" s="880"/>
      <c r="M6" s="880"/>
      <c r="N6" s="880"/>
      <c r="O6" s="880"/>
      <c r="P6" s="880"/>
      <c r="Q6" s="880"/>
      <c r="R6" s="880"/>
      <c r="S6" s="881" t="s">
        <v>231</v>
      </c>
      <c r="T6" s="888" t="s">
        <v>417</v>
      </c>
      <c r="U6" s="386"/>
      <c r="V6" s="386"/>
      <c r="W6" s="386"/>
      <c r="X6" s="386"/>
      <c r="Y6" s="386"/>
      <c r="Z6" s="386"/>
      <c r="AA6" s="386"/>
      <c r="AB6" s="386"/>
      <c r="AC6" s="386"/>
      <c r="AD6" s="386"/>
      <c r="AE6" s="386"/>
      <c r="AF6" s="386"/>
      <c r="AG6" s="386"/>
      <c r="AH6" s="386"/>
      <c r="AI6" s="386"/>
      <c r="AJ6" s="386"/>
    </row>
    <row r="7" spans="1:36" s="398" customFormat="1" ht="21" customHeight="1">
      <c r="A7" s="861"/>
      <c r="B7" s="862"/>
      <c r="C7" s="882" t="s">
        <v>42</v>
      </c>
      <c r="D7" s="864" t="s">
        <v>7</v>
      </c>
      <c r="E7" s="864"/>
      <c r="F7" s="879"/>
      <c r="G7" s="879"/>
      <c r="H7" s="879" t="s">
        <v>98</v>
      </c>
      <c r="I7" s="882" t="s">
        <v>99</v>
      </c>
      <c r="J7" s="882"/>
      <c r="K7" s="882"/>
      <c r="L7" s="882"/>
      <c r="M7" s="882"/>
      <c r="N7" s="882"/>
      <c r="O7" s="882"/>
      <c r="P7" s="882"/>
      <c r="Q7" s="882"/>
      <c r="R7" s="879" t="s">
        <v>108</v>
      </c>
      <c r="S7" s="882"/>
      <c r="T7" s="889"/>
      <c r="U7" s="389"/>
      <c r="V7" s="389"/>
      <c r="W7" s="389"/>
      <c r="X7" s="389"/>
      <c r="Y7" s="389"/>
      <c r="Z7" s="389"/>
      <c r="AA7" s="389"/>
      <c r="AB7" s="389"/>
      <c r="AC7" s="389"/>
      <c r="AD7" s="389"/>
      <c r="AE7" s="389"/>
      <c r="AF7" s="389"/>
      <c r="AG7" s="389"/>
      <c r="AH7" s="389"/>
      <c r="AI7" s="389"/>
      <c r="AJ7" s="389"/>
    </row>
    <row r="8" spans="1:36" s="384" customFormat="1" ht="21.75" customHeight="1">
      <c r="A8" s="861"/>
      <c r="B8" s="862"/>
      <c r="C8" s="882"/>
      <c r="D8" s="864" t="s">
        <v>109</v>
      </c>
      <c r="E8" s="864" t="s">
        <v>110</v>
      </c>
      <c r="F8" s="879"/>
      <c r="G8" s="879"/>
      <c r="H8" s="879"/>
      <c r="I8" s="879" t="s">
        <v>416</v>
      </c>
      <c r="J8" s="864" t="s">
        <v>7</v>
      </c>
      <c r="K8" s="864"/>
      <c r="L8" s="864"/>
      <c r="M8" s="864"/>
      <c r="N8" s="864"/>
      <c r="O8" s="864"/>
      <c r="P8" s="864"/>
      <c r="Q8" s="864"/>
      <c r="R8" s="879"/>
      <c r="S8" s="882"/>
      <c r="T8" s="889"/>
      <c r="U8" s="386"/>
      <c r="V8" s="386"/>
      <c r="W8" s="386"/>
      <c r="X8" s="386"/>
      <c r="Y8" s="386"/>
      <c r="Z8" s="386"/>
      <c r="AA8" s="386"/>
      <c r="AB8" s="386"/>
      <c r="AC8" s="386"/>
      <c r="AD8" s="386"/>
      <c r="AE8" s="386"/>
      <c r="AF8" s="386"/>
      <c r="AG8" s="386"/>
      <c r="AH8" s="386"/>
      <c r="AI8" s="386"/>
      <c r="AJ8" s="386"/>
    </row>
    <row r="9" spans="1:36" s="384" customFormat="1" ht="84" customHeight="1">
      <c r="A9" s="861"/>
      <c r="B9" s="862"/>
      <c r="C9" s="882"/>
      <c r="D9" s="864"/>
      <c r="E9" s="864"/>
      <c r="F9" s="879"/>
      <c r="G9" s="879"/>
      <c r="H9" s="879"/>
      <c r="I9" s="879"/>
      <c r="J9" s="424" t="s">
        <v>111</v>
      </c>
      <c r="K9" s="424" t="s">
        <v>112</v>
      </c>
      <c r="L9" s="424" t="s">
        <v>104</v>
      </c>
      <c r="M9" s="425" t="s">
        <v>100</v>
      </c>
      <c r="N9" s="425" t="s">
        <v>113</v>
      </c>
      <c r="O9" s="425" t="s">
        <v>101</v>
      </c>
      <c r="P9" s="425" t="s">
        <v>232</v>
      </c>
      <c r="Q9" s="425" t="s">
        <v>102</v>
      </c>
      <c r="R9" s="879"/>
      <c r="S9" s="882"/>
      <c r="T9" s="889"/>
      <c r="U9" s="386"/>
      <c r="V9" s="386"/>
      <c r="W9" s="386"/>
      <c r="X9" s="386"/>
      <c r="Y9" s="386"/>
      <c r="Z9" s="386"/>
      <c r="AA9" s="386"/>
      <c r="AB9" s="386"/>
      <c r="AC9" s="386"/>
      <c r="AD9" s="386"/>
      <c r="AE9" s="386"/>
      <c r="AF9" s="386"/>
      <c r="AG9" s="386"/>
      <c r="AH9" s="386"/>
      <c r="AI9" s="386"/>
      <c r="AJ9" s="386"/>
    </row>
    <row r="10" spans="1:20" s="384" customFormat="1" ht="17.25" customHeight="1">
      <c r="A10" s="885" t="s">
        <v>6</v>
      </c>
      <c r="B10" s="886"/>
      <c r="C10" s="426">
        <v>1</v>
      </c>
      <c r="D10" s="426">
        <v>2</v>
      </c>
      <c r="E10" s="426">
        <v>3</v>
      </c>
      <c r="F10" s="426">
        <v>4</v>
      </c>
      <c r="G10" s="426">
        <v>5</v>
      </c>
      <c r="H10" s="426">
        <v>6</v>
      </c>
      <c r="I10" s="426">
        <v>7</v>
      </c>
      <c r="J10" s="426">
        <v>8</v>
      </c>
      <c r="K10" s="426">
        <v>9</v>
      </c>
      <c r="L10" s="426" t="s">
        <v>79</v>
      </c>
      <c r="M10" s="426" t="s">
        <v>80</v>
      </c>
      <c r="N10" s="426" t="s">
        <v>81</v>
      </c>
      <c r="O10" s="426" t="s">
        <v>82</v>
      </c>
      <c r="P10" s="426" t="s">
        <v>83</v>
      </c>
      <c r="Q10" s="426" t="s">
        <v>234</v>
      </c>
      <c r="R10" s="426" t="s">
        <v>235</v>
      </c>
      <c r="S10" s="426" t="s">
        <v>236</v>
      </c>
      <c r="T10" s="427" t="s">
        <v>237</v>
      </c>
    </row>
    <row r="11" spans="1:20" s="418" customFormat="1" ht="24" customHeight="1">
      <c r="A11" s="436"/>
      <c r="B11" s="449" t="s">
        <v>115</v>
      </c>
      <c r="C11" s="449">
        <f>C12+C25+C34+C41+C49+C54+C59+C62</f>
        <v>123551612</v>
      </c>
      <c r="D11" s="449">
        <f aca="true" t="shared" si="0" ref="D11:S11">D12+D25+D34+D41+D49+D54+D59+D62</f>
        <v>95712620</v>
      </c>
      <c r="E11" s="449">
        <f t="shared" si="0"/>
        <v>27838992</v>
      </c>
      <c r="F11" s="449">
        <f t="shared" si="0"/>
        <v>7971556</v>
      </c>
      <c r="G11" s="449">
        <f t="shared" si="0"/>
        <v>0</v>
      </c>
      <c r="H11" s="449">
        <f t="shared" si="0"/>
        <v>115580056</v>
      </c>
      <c r="I11" s="449">
        <f t="shared" si="0"/>
        <v>53399824</v>
      </c>
      <c r="J11" s="449">
        <f t="shared" si="0"/>
        <v>12192483</v>
      </c>
      <c r="K11" s="449">
        <f t="shared" si="0"/>
        <v>3005623</v>
      </c>
      <c r="L11" s="449">
        <f t="shared" si="0"/>
        <v>190809</v>
      </c>
      <c r="M11" s="449">
        <f t="shared" si="0"/>
        <v>21737393</v>
      </c>
      <c r="N11" s="449">
        <f t="shared" si="0"/>
        <v>15883522</v>
      </c>
      <c r="O11" s="449">
        <f t="shared" si="0"/>
        <v>0</v>
      </c>
      <c r="P11" s="449">
        <f t="shared" si="0"/>
        <v>0</v>
      </c>
      <c r="Q11" s="449">
        <f t="shared" si="0"/>
        <v>389994</v>
      </c>
      <c r="R11" s="449">
        <f t="shared" si="0"/>
        <v>62180232</v>
      </c>
      <c r="S11" s="449">
        <f t="shared" si="0"/>
        <v>100191141</v>
      </c>
      <c r="T11" s="450">
        <f>(K11+J11+L11)/I11</f>
        <v>0.2881828786551806</v>
      </c>
    </row>
    <row r="12" spans="1:20" s="418" customFormat="1" ht="26.25" customHeight="1">
      <c r="A12" s="437" t="s">
        <v>0</v>
      </c>
      <c r="B12" s="451" t="s">
        <v>461</v>
      </c>
      <c r="C12" s="452">
        <f>D12+E12</f>
        <v>14727720</v>
      </c>
      <c r="D12" s="452">
        <f aca="true" t="shared" si="1" ref="D12:S12">SUM(D15:D23)</f>
        <v>12147874</v>
      </c>
      <c r="E12" s="452">
        <f t="shared" si="1"/>
        <v>2579846</v>
      </c>
      <c r="F12" s="452">
        <f t="shared" si="1"/>
        <v>14071</v>
      </c>
      <c r="G12" s="452">
        <f t="shared" si="1"/>
        <v>0</v>
      </c>
      <c r="H12" s="452">
        <f>I12+R12</f>
        <v>14713649</v>
      </c>
      <c r="I12" s="452">
        <f t="shared" si="1"/>
        <v>5060612</v>
      </c>
      <c r="J12" s="452">
        <f t="shared" si="1"/>
        <v>572112</v>
      </c>
      <c r="K12" s="452">
        <f t="shared" si="1"/>
        <v>21983</v>
      </c>
      <c r="L12" s="452">
        <f t="shared" si="1"/>
        <v>81876</v>
      </c>
      <c r="M12" s="452">
        <f t="shared" si="1"/>
        <v>4384641</v>
      </c>
      <c r="N12" s="452">
        <f t="shared" si="1"/>
        <v>0</v>
      </c>
      <c r="O12" s="452">
        <f t="shared" si="1"/>
        <v>0</v>
      </c>
      <c r="P12" s="452">
        <f t="shared" si="1"/>
        <v>0</v>
      </c>
      <c r="Q12" s="452">
        <f t="shared" si="1"/>
        <v>0</v>
      </c>
      <c r="R12" s="452">
        <f t="shared" si="1"/>
        <v>9653037</v>
      </c>
      <c r="S12" s="452">
        <f t="shared" si="1"/>
        <v>14037678</v>
      </c>
      <c r="T12" s="453">
        <f>(K12+J12+L12)/I12</f>
        <v>0.13357495101382993</v>
      </c>
    </row>
    <row r="13" spans="1:20" s="418" customFormat="1" ht="26.25" customHeight="1">
      <c r="A13" s="428">
        <v>1</v>
      </c>
      <c r="B13" s="924" t="s">
        <v>428</v>
      </c>
      <c r="C13" s="925">
        <f>D13+E13</f>
        <v>0</v>
      </c>
      <c r="D13" s="926"/>
      <c r="E13" s="927"/>
      <c r="F13" s="927"/>
      <c r="G13" s="927"/>
      <c r="H13" s="925">
        <f aca="true" t="shared" si="2" ref="H13:H33">I13+R13</f>
        <v>0</v>
      </c>
      <c r="I13" s="925">
        <f>J13+K13+L13+M13+N13+O13+P13+Q13</f>
        <v>0</v>
      </c>
      <c r="J13" s="927"/>
      <c r="K13" s="927"/>
      <c r="L13" s="927"/>
      <c r="M13" s="927"/>
      <c r="N13" s="927"/>
      <c r="O13" s="927"/>
      <c r="P13" s="927"/>
      <c r="Q13" s="927"/>
      <c r="R13" s="927"/>
      <c r="S13" s="429">
        <f>C13-F13+G13-J13-K13-L13</f>
        <v>0</v>
      </c>
      <c r="T13" s="439" t="e">
        <f aca="true" t="shared" si="3" ref="T13:T62">(K13+J13+L13)/I13</f>
        <v>#DIV/0!</v>
      </c>
    </row>
    <row r="14" spans="1:20" s="418" customFormat="1" ht="26.25" customHeight="1">
      <c r="A14" s="428">
        <v>2</v>
      </c>
      <c r="B14" s="924" t="s">
        <v>478</v>
      </c>
      <c r="C14" s="925">
        <f>D14+E14</f>
        <v>0</v>
      </c>
      <c r="D14" s="927"/>
      <c r="E14" s="927"/>
      <c r="F14" s="927"/>
      <c r="G14" s="927"/>
      <c r="H14" s="925">
        <f t="shared" si="2"/>
        <v>0</v>
      </c>
      <c r="I14" s="925">
        <f>J14+K14+L14+M14+N14+O14+P14+Q14</f>
        <v>0</v>
      </c>
      <c r="J14" s="927"/>
      <c r="K14" s="927"/>
      <c r="L14" s="927"/>
      <c r="M14" s="927"/>
      <c r="N14" s="927"/>
      <c r="O14" s="927"/>
      <c r="P14" s="927"/>
      <c r="Q14" s="927"/>
      <c r="R14" s="927"/>
      <c r="S14" s="429">
        <f>C14-F14+G14-J14-K14-L14</f>
        <v>0</v>
      </c>
      <c r="T14" s="439" t="e">
        <f t="shared" si="3"/>
        <v>#DIV/0!</v>
      </c>
    </row>
    <row r="15" spans="1:20" s="418" customFormat="1" ht="26.25" customHeight="1">
      <c r="A15" s="482">
        <v>3</v>
      </c>
      <c r="B15" s="457" t="s">
        <v>423</v>
      </c>
      <c r="C15" s="443">
        <f aca="true" t="shared" si="4" ref="C15:C23">SUM(D15,E15)</f>
        <v>2084233</v>
      </c>
      <c r="D15" s="463">
        <v>684114</v>
      </c>
      <c r="E15" s="445">
        <v>1400119</v>
      </c>
      <c r="F15" s="443">
        <v>13871</v>
      </c>
      <c r="G15" s="443">
        <v>0</v>
      </c>
      <c r="H15" s="443">
        <f>C15-F15+G15</f>
        <v>2070362</v>
      </c>
      <c r="I15" s="443">
        <f aca="true" t="shared" si="5" ref="I15:I23">SUM(J15:Q15)</f>
        <v>1120391</v>
      </c>
      <c r="J15" s="445">
        <v>282312</v>
      </c>
      <c r="K15" s="445">
        <v>14614</v>
      </c>
      <c r="L15" s="445">
        <v>1946</v>
      </c>
      <c r="M15" s="445">
        <v>821519</v>
      </c>
      <c r="N15" s="443"/>
      <c r="O15" s="444">
        <v>0</v>
      </c>
      <c r="P15" s="444">
        <v>0</v>
      </c>
      <c r="Q15" s="444"/>
      <c r="R15" s="448">
        <v>949971</v>
      </c>
      <c r="S15" s="501">
        <f>C15-SUM(F15,G15,J15:L15)</f>
        <v>1771490</v>
      </c>
      <c r="T15" s="511">
        <f>SUM(J15:K15:L15)/I15*100%</f>
        <v>0.26675687327013514</v>
      </c>
    </row>
    <row r="16" spans="1:20" s="418" customFormat="1" ht="26.25" customHeight="1">
      <c r="A16" s="428">
        <v>4</v>
      </c>
      <c r="B16" s="457" t="s">
        <v>424</v>
      </c>
      <c r="C16" s="443">
        <f t="shared" si="4"/>
        <v>6080103</v>
      </c>
      <c r="D16" s="462">
        <v>5415996</v>
      </c>
      <c r="E16" s="445">
        <v>664107</v>
      </c>
      <c r="F16" s="443">
        <v>0</v>
      </c>
      <c r="G16" s="443">
        <v>0</v>
      </c>
      <c r="H16" s="443">
        <f>C16-F16+G16</f>
        <v>6080103</v>
      </c>
      <c r="I16" s="443">
        <f t="shared" si="5"/>
        <v>2680402</v>
      </c>
      <c r="J16" s="445">
        <v>80639</v>
      </c>
      <c r="K16" s="445">
        <v>0</v>
      </c>
      <c r="L16" s="445">
        <v>29931</v>
      </c>
      <c r="M16" s="445">
        <v>2569832</v>
      </c>
      <c r="N16" s="443"/>
      <c r="O16" s="444">
        <v>0</v>
      </c>
      <c r="P16" s="444">
        <v>0</v>
      </c>
      <c r="Q16" s="444"/>
      <c r="R16" s="448">
        <v>3399701</v>
      </c>
      <c r="S16" s="501">
        <f>C16-SUM(F16,G16,J16:L16)</f>
        <v>5969533</v>
      </c>
      <c r="T16" s="511">
        <f>SUM(J16:K16:L16)/I16*100%</f>
        <v>0.04125127499531787</v>
      </c>
    </row>
    <row r="17" spans="1:20" s="418" customFormat="1" ht="26.25" customHeight="1">
      <c r="A17" s="428">
        <v>5</v>
      </c>
      <c r="B17" s="481" t="s">
        <v>482</v>
      </c>
      <c r="C17" s="465">
        <f t="shared" si="4"/>
        <v>4226828</v>
      </c>
      <c r="D17" s="463">
        <v>4165587</v>
      </c>
      <c r="E17" s="464">
        <v>61241</v>
      </c>
      <c r="F17" s="465">
        <v>200</v>
      </c>
      <c r="G17" s="465">
        <v>0</v>
      </c>
      <c r="H17" s="465">
        <f>C17-F17</f>
        <v>4226628</v>
      </c>
      <c r="I17" s="465">
        <f t="shared" si="5"/>
        <v>755379</v>
      </c>
      <c r="J17" s="464">
        <v>61891</v>
      </c>
      <c r="K17" s="464">
        <v>0</v>
      </c>
      <c r="L17" s="464">
        <v>0</v>
      </c>
      <c r="M17" s="464">
        <v>693488</v>
      </c>
      <c r="N17" s="465"/>
      <c r="O17" s="466">
        <v>0</v>
      </c>
      <c r="P17" s="466">
        <v>0</v>
      </c>
      <c r="Q17" s="466"/>
      <c r="R17" s="467">
        <v>3471249</v>
      </c>
      <c r="S17" s="512">
        <f>C17-SUM(F17,J17:L17)</f>
        <v>4164737</v>
      </c>
      <c r="T17" s="513">
        <f>SUM(J17:K17:L17)/I17*100%</f>
        <v>0.08193370480248988</v>
      </c>
    </row>
    <row r="18" spans="1:20" s="418" customFormat="1" ht="24.75" customHeight="1">
      <c r="A18" s="482">
        <v>6</v>
      </c>
      <c r="B18" s="457" t="s">
        <v>426</v>
      </c>
      <c r="C18" s="443">
        <f t="shared" si="4"/>
        <v>47735</v>
      </c>
      <c r="D18" s="447">
        <v>47735</v>
      </c>
      <c r="E18" s="445">
        <v>0</v>
      </c>
      <c r="F18" s="443">
        <v>0</v>
      </c>
      <c r="G18" s="443">
        <v>0</v>
      </c>
      <c r="H18" s="443">
        <f aca="true" t="shared" si="6" ref="H18:H23">C18-F18+G18</f>
        <v>47735</v>
      </c>
      <c r="I18" s="443">
        <f t="shared" si="5"/>
        <v>0</v>
      </c>
      <c r="J18" s="445">
        <v>0</v>
      </c>
      <c r="K18" s="445"/>
      <c r="L18" s="445"/>
      <c r="M18" s="445">
        <v>0</v>
      </c>
      <c r="N18" s="443"/>
      <c r="O18" s="444">
        <v>0</v>
      </c>
      <c r="P18" s="444">
        <v>0</v>
      </c>
      <c r="Q18" s="444"/>
      <c r="R18" s="448">
        <v>47735</v>
      </c>
      <c r="S18" s="501">
        <f aca="true" t="shared" si="7" ref="S18:S23">C18-SUM(F18,G18,J18:L18)</f>
        <v>47735</v>
      </c>
      <c r="T18" s="439" t="e">
        <f t="shared" si="3"/>
        <v>#DIV/0!</v>
      </c>
    </row>
    <row r="19" spans="1:20" s="418" customFormat="1" ht="24.75" customHeight="1">
      <c r="A19" s="428">
        <v>7</v>
      </c>
      <c r="B19" s="457" t="s">
        <v>479</v>
      </c>
      <c r="C19" s="443">
        <f t="shared" si="4"/>
        <v>2029110</v>
      </c>
      <c r="D19" s="447">
        <v>1574731</v>
      </c>
      <c r="E19" s="445">
        <v>454379</v>
      </c>
      <c r="F19" s="443">
        <v>0</v>
      </c>
      <c r="G19" s="443">
        <v>0</v>
      </c>
      <c r="H19" s="443">
        <f t="shared" si="6"/>
        <v>2029110</v>
      </c>
      <c r="I19" s="443">
        <f t="shared" si="5"/>
        <v>472371</v>
      </c>
      <c r="J19" s="445">
        <v>125070</v>
      </c>
      <c r="K19" s="445"/>
      <c r="L19" s="445">
        <v>49999</v>
      </c>
      <c r="M19" s="445">
        <v>297302</v>
      </c>
      <c r="N19" s="443"/>
      <c r="O19" s="444">
        <v>0</v>
      </c>
      <c r="P19" s="444">
        <v>0</v>
      </c>
      <c r="Q19" s="444"/>
      <c r="R19" s="448">
        <v>1556739</v>
      </c>
      <c r="S19" s="501">
        <f t="shared" si="7"/>
        <v>1854041</v>
      </c>
      <c r="T19" s="439">
        <f t="shared" si="3"/>
        <v>0.37061758660036287</v>
      </c>
    </row>
    <row r="20" spans="1:20" s="418" customFormat="1" ht="28.5" customHeight="1">
      <c r="A20" s="428">
        <v>8</v>
      </c>
      <c r="B20" s="457" t="s">
        <v>483</v>
      </c>
      <c r="C20" s="443">
        <f t="shared" si="4"/>
        <v>188202</v>
      </c>
      <c r="D20" s="447">
        <v>188202</v>
      </c>
      <c r="E20" s="445">
        <v>0</v>
      </c>
      <c r="F20" s="443"/>
      <c r="G20" s="443"/>
      <c r="H20" s="443">
        <f t="shared" si="6"/>
        <v>188202</v>
      </c>
      <c r="I20" s="443">
        <f t="shared" si="5"/>
        <v>0</v>
      </c>
      <c r="J20" s="445">
        <v>0</v>
      </c>
      <c r="K20" s="445"/>
      <c r="L20" s="445"/>
      <c r="M20" s="445">
        <v>0</v>
      </c>
      <c r="N20" s="443"/>
      <c r="O20" s="444"/>
      <c r="P20" s="444"/>
      <c r="Q20" s="444"/>
      <c r="R20" s="448">
        <v>188202</v>
      </c>
      <c r="S20" s="501">
        <f t="shared" si="7"/>
        <v>188202</v>
      </c>
      <c r="T20" s="439" t="e">
        <f t="shared" si="3"/>
        <v>#DIV/0!</v>
      </c>
    </row>
    <row r="21" spans="1:20" s="418" customFormat="1" ht="24.75" customHeight="1">
      <c r="A21" s="482">
        <v>9</v>
      </c>
      <c r="B21" s="456" t="s">
        <v>429</v>
      </c>
      <c r="C21" s="443">
        <f t="shared" si="4"/>
        <v>21629</v>
      </c>
      <c r="D21" s="447">
        <v>21629</v>
      </c>
      <c r="E21" s="445">
        <v>0</v>
      </c>
      <c r="F21" s="443">
        <v>0</v>
      </c>
      <c r="G21" s="443">
        <v>0</v>
      </c>
      <c r="H21" s="443">
        <f t="shared" si="6"/>
        <v>21629</v>
      </c>
      <c r="I21" s="443">
        <f t="shared" si="5"/>
        <v>12069</v>
      </c>
      <c r="J21" s="445">
        <v>2200</v>
      </c>
      <c r="K21" s="445">
        <v>7369</v>
      </c>
      <c r="L21" s="445"/>
      <c r="M21" s="445">
        <v>2500</v>
      </c>
      <c r="N21" s="443"/>
      <c r="O21" s="444">
        <v>0</v>
      </c>
      <c r="P21" s="444">
        <v>0</v>
      </c>
      <c r="Q21" s="444"/>
      <c r="R21" s="448">
        <v>9560</v>
      </c>
      <c r="S21" s="448">
        <f t="shared" si="7"/>
        <v>12060</v>
      </c>
      <c r="T21" s="439">
        <f t="shared" si="3"/>
        <v>0.7928577346921866</v>
      </c>
    </row>
    <row r="22" spans="1:20" s="418" customFormat="1" ht="24.75" customHeight="1">
      <c r="A22" s="482">
        <v>10</v>
      </c>
      <c r="B22" s="497" t="s">
        <v>430</v>
      </c>
      <c r="C22" s="443">
        <f t="shared" si="4"/>
        <v>49880</v>
      </c>
      <c r="D22" s="447">
        <v>49880</v>
      </c>
      <c r="E22" s="445">
        <v>0</v>
      </c>
      <c r="F22" s="443">
        <v>0</v>
      </c>
      <c r="G22" s="443"/>
      <c r="H22" s="443">
        <f t="shared" si="6"/>
        <v>49880</v>
      </c>
      <c r="I22" s="443">
        <f t="shared" si="5"/>
        <v>20000</v>
      </c>
      <c r="J22" s="445">
        <v>20000</v>
      </c>
      <c r="K22" s="445"/>
      <c r="L22" s="445"/>
      <c r="M22" s="445">
        <v>0</v>
      </c>
      <c r="N22" s="443"/>
      <c r="O22" s="444">
        <v>0</v>
      </c>
      <c r="P22" s="444">
        <v>0</v>
      </c>
      <c r="Q22" s="444"/>
      <c r="R22" s="448">
        <v>29880</v>
      </c>
      <c r="S22" s="448">
        <f t="shared" si="7"/>
        <v>29880</v>
      </c>
      <c r="T22" s="439">
        <f t="shared" si="3"/>
        <v>1</v>
      </c>
    </row>
    <row r="23" spans="1:20" s="418" customFormat="1" ht="24.75" customHeight="1">
      <c r="A23" s="428">
        <v>11</v>
      </c>
      <c r="B23" s="458" t="s">
        <v>425</v>
      </c>
      <c r="C23" s="443">
        <f t="shared" si="4"/>
        <v>0</v>
      </c>
      <c r="D23" s="447"/>
      <c r="E23" s="445"/>
      <c r="F23" s="443"/>
      <c r="G23" s="443">
        <v>0</v>
      </c>
      <c r="H23" s="471">
        <f t="shared" si="6"/>
        <v>0</v>
      </c>
      <c r="I23" s="471">
        <f t="shared" si="5"/>
        <v>0</v>
      </c>
      <c r="J23" s="445"/>
      <c r="K23" s="445"/>
      <c r="L23" s="445"/>
      <c r="M23" s="445"/>
      <c r="N23" s="443"/>
      <c r="O23" s="444"/>
      <c r="P23" s="444"/>
      <c r="Q23" s="444"/>
      <c r="R23" s="448"/>
      <c r="S23" s="501">
        <f t="shared" si="7"/>
        <v>0</v>
      </c>
      <c r="T23" s="439" t="e">
        <f t="shared" si="3"/>
        <v>#DIV/0!</v>
      </c>
    </row>
    <row r="24" spans="1:20" s="418" customFormat="1" ht="26.25" customHeight="1">
      <c r="A24" s="459" t="s">
        <v>1</v>
      </c>
      <c r="B24" s="866" t="s">
        <v>17</v>
      </c>
      <c r="C24" s="867"/>
      <c r="D24" s="447"/>
      <c r="E24" s="445"/>
      <c r="F24" s="443"/>
      <c r="G24" s="438"/>
      <c r="H24" s="429"/>
      <c r="I24" s="429"/>
      <c r="J24" s="445"/>
      <c r="K24" s="445"/>
      <c r="L24" s="445"/>
      <c r="M24" s="445"/>
      <c r="N24" s="443"/>
      <c r="O24" s="444"/>
      <c r="P24" s="444"/>
      <c r="Q24" s="444"/>
      <c r="R24" s="448"/>
      <c r="S24" s="429"/>
      <c r="T24" s="439"/>
    </row>
    <row r="25" spans="1:20" s="418" customFormat="1" ht="24.75" customHeight="1">
      <c r="A25" s="454">
        <v>1</v>
      </c>
      <c r="B25" s="451" t="s">
        <v>462</v>
      </c>
      <c r="C25" s="452">
        <f>D25+E25</f>
        <v>54502352</v>
      </c>
      <c r="D25" s="452">
        <f>SUM(D26:D33)</f>
        <v>41909503</v>
      </c>
      <c r="E25" s="452">
        <f>SUM(E26:E33)</f>
        <v>12592849</v>
      </c>
      <c r="F25" s="452">
        <f>SUM(F26:F33)</f>
        <v>228257</v>
      </c>
      <c r="G25" s="452">
        <f>SUM(G26:G33)</f>
        <v>0</v>
      </c>
      <c r="H25" s="452">
        <f>I25+R25</f>
        <v>54274095</v>
      </c>
      <c r="I25" s="452">
        <f aca="true" t="shared" si="8" ref="I25:S25">SUM(I26:I33)</f>
        <v>29833094</v>
      </c>
      <c r="J25" s="452">
        <f t="shared" si="8"/>
        <v>5502905</v>
      </c>
      <c r="K25" s="452">
        <f t="shared" si="8"/>
        <v>2256613</v>
      </c>
      <c r="L25" s="452">
        <f t="shared" si="8"/>
        <v>32404</v>
      </c>
      <c r="M25" s="452">
        <f t="shared" si="8"/>
        <v>6616556</v>
      </c>
      <c r="N25" s="452">
        <f t="shared" si="8"/>
        <v>15407228</v>
      </c>
      <c r="O25" s="452">
        <f t="shared" si="8"/>
        <v>0</v>
      </c>
      <c r="P25" s="452">
        <f t="shared" si="8"/>
        <v>0</v>
      </c>
      <c r="Q25" s="452">
        <f t="shared" si="8"/>
        <v>17388</v>
      </c>
      <c r="R25" s="452">
        <f t="shared" si="8"/>
        <v>24441001</v>
      </c>
      <c r="S25" s="452">
        <f t="shared" si="8"/>
        <v>46482173</v>
      </c>
      <c r="T25" s="453">
        <f>(K25+J25+L25)/I25</f>
        <v>0.26118383832397674</v>
      </c>
    </row>
    <row r="26" spans="1:20" s="418" customFormat="1" ht="24.75" customHeight="1">
      <c r="A26" s="455">
        <v>1</v>
      </c>
      <c r="B26" s="441" t="s">
        <v>432</v>
      </c>
      <c r="C26" s="429">
        <f>D26+E26</f>
        <v>31450</v>
      </c>
      <c r="D26" s="473">
        <v>0</v>
      </c>
      <c r="E26" s="473">
        <v>31450</v>
      </c>
      <c r="F26" s="473">
        <v>0</v>
      </c>
      <c r="G26" s="460">
        <v>0</v>
      </c>
      <c r="H26" s="429">
        <f t="shared" si="2"/>
        <v>31450</v>
      </c>
      <c r="I26" s="429">
        <f aca="true" t="shared" si="9" ref="I26:I33">SUM(J26:Q26)</f>
        <v>31450</v>
      </c>
      <c r="J26" s="473">
        <v>31150</v>
      </c>
      <c r="K26" s="473">
        <v>0</v>
      </c>
      <c r="L26" s="473">
        <v>0</v>
      </c>
      <c r="M26" s="473">
        <v>300</v>
      </c>
      <c r="N26" s="473">
        <v>0</v>
      </c>
      <c r="O26" s="473"/>
      <c r="P26" s="473"/>
      <c r="Q26" s="473"/>
      <c r="R26" s="473">
        <v>0</v>
      </c>
      <c r="S26" s="429">
        <f>C26-F26-G26-J26-K26-L26</f>
        <v>300</v>
      </c>
      <c r="T26" s="439">
        <f t="shared" si="3"/>
        <v>0.9904610492845787</v>
      </c>
    </row>
    <row r="27" spans="1:20" s="418" customFormat="1" ht="24.75" customHeight="1">
      <c r="A27" s="428" t="s">
        <v>44</v>
      </c>
      <c r="B27" s="440" t="s">
        <v>433</v>
      </c>
      <c r="C27" s="429">
        <f aca="true" t="shared" si="10" ref="C27:C33">D27+E27</f>
        <v>4484572</v>
      </c>
      <c r="D27" s="473">
        <v>3942047</v>
      </c>
      <c r="E27" s="473">
        <v>542525</v>
      </c>
      <c r="F27" s="473">
        <v>42500</v>
      </c>
      <c r="G27" s="460">
        <v>0</v>
      </c>
      <c r="H27" s="429">
        <f t="shared" si="2"/>
        <v>4442072</v>
      </c>
      <c r="I27" s="429">
        <f t="shared" si="9"/>
        <v>656429</v>
      </c>
      <c r="J27" s="473">
        <v>289755</v>
      </c>
      <c r="K27" s="473">
        <v>306921</v>
      </c>
      <c r="L27" s="473">
        <v>0</v>
      </c>
      <c r="M27" s="473">
        <v>54602</v>
      </c>
      <c r="N27" s="473">
        <v>5151</v>
      </c>
      <c r="O27" s="473">
        <v>0</v>
      </c>
      <c r="P27" s="473"/>
      <c r="Q27" s="473">
        <v>0</v>
      </c>
      <c r="R27" s="473">
        <v>3785643</v>
      </c>
      <c r="S27" s="429">
        <f aca="true" t="shared" si="11" ref="S27:S33">C27-F27-G27-J27-K27-L27</f>
        <v>3845396</v>
      </c>
      <c r="T27" s="439">
        <f t="shared" si="3"/>
        <v>0.9089726383203667</v>
      </c>
    </row>
    <row r="28" spans="1:20" s="418" customFormat="1" ht="24.75" customHeight="1">
      <c r="A28" s="428" t="s">
        <v>45</v>
      </c>
      <c r="B28" s="441" t="s">
        <v>434</v>
      </c>
      <c r="C28" s="429">
        <f t="shared" si="10"/>
        <v>11138782</v>
      </c>
      <c r="D28" s="473">
        <v>4960551</v>
      </c>
      <c r="E28" s="473">
        <v>6178231</v>
      </c>
      <c r="F28" s="473">
        <v>0</v>
      </c>
      <c r="G28" s="460">
        <v>0</v>
      </c>
      <c r="H28" s="429">
        <f t="shared" si="2"/>
        <v>11138782</v>
      </c>
      <c r="I28" s="429">
        <f t="shared" si="9"/>
        <v>6927765</v>
      </c>
      <c r="J28" s="473">
        <v>3196207</v>
      </c>
      <c r="K28" s="473">
        <v>584498</v>
      </c>
      <c r="L28" s="473">
        <v>0</v>
      </c>
      <c r="M28" s="473">
        <v>3129672</v>
      </c>
      <c r="N28" s="473">
        <v>0</v>
      </c>
      <c r="O28" s="473"/>
      <c r="P28" s="473"/>
      <c r="Q28" s="473">
        <v>17388</v>
      </c>
      <c r="R28" s="473">
        <v>4211017</v>
      </c>
      <c r="S28" s="429">
        <f t="shared" si="11"/>
        <v>7358077</v>
      </c>
      <c r="T28" s="439">
        <f t="shared" si="3"/>
        <v>0.5457322816232941</v>
      </c>
    </row>
    <row r="29" spans="1:20" s="418" customFormat="1" ht="24.75" customHeight="1">
      <c r="A29" s="428" t="s">
        <v>54</v>
      </c>
      <c r="B29" s="440" t="s">
        <v>487</v>
      </c>
      <c r="C29" s="429">
        <f t="shared" si="10"/>
        <v>12578482</v>
      </c>
      <c r="D29" s="473">
        <v>11628191</v>
      </c>
      <c r="E29" s="473">
        <v>950291</v>
      </c>
      <c r="F29" s="473">
        <v>104582</v>
      </c>
      <c r="G29" s="460">
        <v>0</v>
      </c>
      <c r="H29" s="429">
        <f t="shared" si="2"/>
        <v>12473900</v>
      </c>
      <c r="I29" s="429">
        <f t="shared" si="9"/>
        <v>4036971</v>
      </c>
      <c r="J29" s="473">
        <v>305412</v>
      </c>
      <c r="K29" s="473">
        <v>589125</v>
      </c>
      <c r="L29" s="473">
        <v>23453</v>
      </c>
      <c r="M29" s="473">
        <v>840729</v>
      </c>
      <c r="N29" s="473">
        <v>2278252</v>
      </c>
      <c r="O29" s="473"/>
      <c r="P29" s="473"/>
      <c r="Q29" s="473">
        <v>0</v>
      </c>
      <c r="R29" s="473">
        <v>8436929</v>
      </c>
      <c r="S29" s="429">
        <f t="shared" si="11"/>
        <v>11555910</v>
      </c>
      <c r="T29" s="439">
        <f t="shared" si="3"/>
        <v>0.22739573804221036</v>
      </c>
    </row>
    <row r="30" spans="1:20" s="418" customFormat="1" ht="24.75" customHeight="1">
      <c r="A30" s="428" t="s">
        <v>55</v>
      </c>
      <c r="B30" s="440" t="s">
        <v>471</v>
      </c>
      <c r="C30" s="429">
        <f t="shared" si="10"/>
        <v>16641692</v>
      </c>
      <c r="D30" s="473">
        <v>15803389</v>
      </c>
      <c r="E30" s="473">
        <v>838303</v>
      </c>
      <c r="F30" s="473">
        <v>975</v>
      </c>
      <c r="G30" s="460">
        <v>0</v>
      </c>
      <c r="H30" s="429">
        <f t="shared" si="2"/>
        <v>16640717</v>
      </c>
      <c r="I30" s="429">
        <f t="shared" si="9"/>
        <v>14012769</v>
      </c>
      <c r="J30" s="473">
        <v>396185</v>
      </c>
      <c r="K30" s="473">
        <v>0</v>
      </c>
      <c r="L30" s="473">
        <v>0</v>
      </c>
      <c r="M30" s="473">
        <v>884759</v>
      </c>
      <c r="N30" s="473">
        <v>12731825</v>
      </c>
      <c r="O30" s="473"/>
      <c r="P30" s="473"/>
      <c r="Q30" s="473">
        <v>0</v>
      </c>
      <c r="R30" s="473">
        <v>2627948</v>
      </c>
      <c r="S30" s="429">
        <f t="shared" si="11"/>
        <v>16244532</v>
      </c>
      <c r="T30" s="439">
        <f t="shared" si="3"/>
        <v>0.02827314144691888</v>
      </c>
    </row>
    <row r="31" spans="1:20" s="418" customFormat="1" ht="24.75" customHeight="1">
      <c r="A31" s="428" t="s">
        <v>56</v>
      </c>
      <c r="B31" s="441" t="s">
        <v>470</v>
      </c>
      <c r="C31" s="429">
        <f t="shared" si="10"/>
        <v>3593908</v>
      </c>
      <c r="D31" s="473">
        <v>1696588</v>
      </c>
      <c r="E31" s="473">
        <v>1897320</v>
      </c>
      <c r="F31" s="473">
        <v>71000</v>
      </c>
      <c r="G31" s="460"/>
      <c r="H31" s="429">
        <f t="shared" si="2"/>
        <v>3522908</v>
      </c>
      <c r="I31" s="429">
        <f t="shared" si="9"/>
        <v>2175439</v>
      </c>
      <c r="J31" s="473">
        <v>685159</v>
      </c>
      <c r="K31" s="473">
        <v>623679</v>
      </c>
      <c r="L31" s="473">
        <v>4137</v>
      </c>
      <c r="M31" s="473">
        <v>762464</v>
      </c>
      <c r="N31" s="473">
        <v>100000</v>
      </c>
      <c r="O31" s="473">
        <v>0</v>
      </c>
      <c r="P31" s="473"/>
      <c r="Q31" s="473"/>
      <c r="R31" s="473">
        <v>1347469</v>
      </c>
      <c r="S31" s="429">
        <f t="shared" si="11"/>
        <v>2209933</v>
      </c>
      <c r="T31" s="439">
        <f t="shared" si="3"/>
        <v>0.6035448477295847</v>
      </c>
    </row>
    <row r="32" spans="1:20" s="418" customFormat="1" ht="24.75" customHeight="1">
      <c r="A32" s="510">
        <v>7</v>
      </c>
      <c r="B32" s="441" t="s">
        <v>436</v>
      </c>
      <c r="C32" s="429">
        <f t="shared" si="10"/>
        <v>5398894</v>
      </c>
      <c r="D32" s="473">
        <v>3588036</v>
      </c>
      <c r="E32" s="473">
        <v>1810858</v>
      </c>
      <c r="F32" s="473">
        <v>9200</v>
      </c>
      <c r="G32" s="460"/>
      <c r="H32" s="429">
        <f t="shared" si="2"/>
        <v>5389694</v>
      </c>
      <c r="I32" s="429">
        <f t="shared" si="9"/>
        <v>1785650</v>
      </c>
      <c r="J32" s="473">
        <v>557277</v>
      </c>
      <c r="K32" s="473">
        <v>152390</v>
      </c>
      <c r="L32" s="473">
        <v>4814</v>
      </c>
      <c r="M32" s="483">
        <v>866169</v>
      </c>
      <c r="N32" s="473">
        <v>205000</v>
      </c>
      <c r="O32" s="473"/>
      <c r="P32" s="473"/>
      <c r="Q32" s="473"/>
      <c r="R32" s="473">
        <v>3604044</v>
      </c>
      <c r="S32" s="429">
        <f t="shared" si="11"/>
        <v>4675213</v>
      </c>
      <c r="T32" s="439">
        <f t="shared" si="3"/>
        <v>0.4001237644555204</v>
      </c>
    </row>
    <row r="33" spans="1:20" s="418" customFormat="1" ht="24.75" customHeight="1" thickBot="1">
      <c r="A33" s="510">
        <v>8</v>
      </c>
      <c r="B33" s="441" t="s">
        <v>477</v>
      </c>
      <c r="C33" s="429">
        <f t="shared" si="10"/>
        <v>634572</v>
      </c>
      <c r="D33" s="498">
        <v>290701</v>
      </c>
      <c r="E33" s="498">
        <v>343871</v>
      </c>
      <c r="F33" s="498">
        <v>0</v>
      </c>
      <c r="G33" s="460">
        <v>0</v>
      </c>
      <c r="H33" s="429">
        <f t="shared" si="2"/>
        <v>634572</v>
      </c>
      <c r="I33" s="429">
        <f t="shared" si="9"/>
        <v>206621</v>
      </c>
      <c r="J33" s="498">
        <v>41760</v>
      </c>
      <c r="K33" s="498">
        <v>0</v>
      </c>
      <c r="L33" s="498">
        <v>0</v>
      </c>
      <c r="M33" s="499">
        <v>77861</v>
      </c>
      <c r="N33" s="498">
        <v>87000</v>
      </c>
      <c r="O33" s="498">
        <v>0</v>
      </c>
      <c r="P33" s="498"/>
      <c r="Q33" s="498"/>
      <c r="R33" s="498">
        <v>427951</v>
      </c>
      <c r="S33" s="429">
        <f t="shared" si="11"/>
        <v>592812</v>
      </c>
      <c r="T33" s="439">
        <f t="shared" si="3"/>
        <v>0.20210917573721934</v>
      </c>
    </row>
    <row r="34" spans="1:20" s="418" customFormat="1" ht="29.25" customHeight="1" thickTop="1">
      <c r="A34" s="454">
        <v>2</v>
      </c>
      <c r="B34" s="451" t="s">
        <v>437</v>
      </c>
      <c r="C34" s="452">
        <f>D34+E34</f>
        <v>7621254</v>
      </c>
      <c r="D34" s="452">
        <f>SUM(D35:D40)</f>
        <v>5038231</v>
      </c>
      <c r="E34" s="452">
        <f>SUM(E35:E40)</f>
        <v>2583023</v>
      </c>
      <c r="F34" s="452">
        <f>SUM(F35:F40)</f>
        <v>152290</v>
      </c>
      <c r="G34" s="452">
        <f>SUM(G35:G40)</f>
        <v>0</v>
      </c>
      <c r="H34" s="452">
        <f>I34+R34</f>
        <v>7468964</v>
      </c>
      <c r="I34" s="452">
        <f>SUM(J34:Q34)</f>
        <v>4803373</v>
      </c>
      <c r="J34" s="452">
        <f aca="true" t="shared" si="12" ref="J34:S34">SUM(J35:J40)</f>
        <v>1261984</v>
      </c>
      <c r="K34" s="452">
        <f t="shared" si="12"/>
        <v>56474</v>
      </c>
      <c r="L34" s="452">
        <f t="shared" si="12"/>
        <v>35302</v>
      </c>
      <c r="M34" s="452">
        <f t="shared" si="12"/>
        <v>3328613</v>
      </c>
      <c r="N34" s="452">
        <f t="shared" si="12"/>
        <v>0</v>
      </c>
      <c r="O34" s="452">
        <f t="shared" si="12"/>
        <v>0</v>
      </c>
      <c r="P34" s="452">
        <f t="shared" si="12"/>
        <v>0</v>
      </c>
      <c r="Q34" s="452">
        <f t="shared" si="12"/>
        <v>121000</v>
      </c>
      <c r="R34" s="452">
        <f t="shared" si="12"/>
        <v>2665591</v>
      </c>
      <c r="S34" s="452">
        <f t="shared" si="12"/>
        <v>6115204</v>
      </c>
      <c r="T34" s="453">
        <f t="shared" si="3"/>
        <v>0.28183528532970475</v>
      </c>
    </row>
    <row r="35" spans="1:20" s="418" customFormat="1" ht="24.75" customHeight="1">
      <c r="A35" s="468" t="s">
        <v>43</v>
      </c>
      <c r="B35" s="488" t="s">
        <v>438</v>
      </c>
      <c r="C35" s="469">
        <f aca="true" t="shared" si="13" ref="C35:C40">SUM(D35,E35)</f>
        <v>322316</v>
      </c>
      <c r="D35" s="443">
        <v>166230</v>
      </c>
      <c r="E35" s="443">
        <v>156086</v>
      </c>
      <c r="F35" s="443">
        <v>400</v>
      </c>
      <c r="G35" s="469">
        <v>0</v>
      </c>
      <c r="H35" s="469">
        <f aca="true" t="shared" si="14" ref="H35:H40">C35-F35-G35</f>
        <v>321916</v>
      </c>
      <c r="I35" s="469">
        <f aca="true" t="shared" si="15" ref="I35:I40">SUM(J35:Q35)</f>
        <v>232955</v>
      </c>
      <c r="J35" s="443">
        <v>205411</v>
      </c>
      <c r="K35" s="443">
        <v>0</v>
      </c>
      <c r="L35" s="443">
        <v>8644</v>
      </c>
      <c r="M35" s="443">
        <v>18900</v>
      </c>
      <c r="N35" s="443">
        <v>0</v>
      </c>
      <c r="O35" s="444">
        <v>0</v>
      </c>
      <c r="P35" s="444">
        <v>0</v>
      </c>
      <c r="Q35" s="444">
        <v>0</v>
      </c>
      <c r="R35" s="501">
        <v>88961</v>
      </c>
      <c r="S35" s="928">
        <f aca="true" t="shared" si="16" ref="S35:S40">H35-SUM(J35:L35)</f>
        <v>107861</v>
      </c>
      <c r="T35" s="439">
        <f t="shared" si="3"/>
        <v>0.9188684509883883</v>
      </c>
    </row>
    <row r="36" spans="1:20" s="418" customFormat="1" ht="24.75" customHeight="1">
      <c r="A36" s="468" t="s">
        <v>44</v>
      </c>
      <c r="B36" s="488" t="s">
        <v>439</v>
      </c>
      <c r="C36" s="469">
        <f t="shared" si="13"/>
        <v>2328983</v>
      </c>
      <c r="D36" s="443">
        <v>1306732</v>
      </c>
      <c r="E36" s="443">
        <v>1022251</v>
      </c>
      <c r="F36" s="443">
        <v>23340</v>
      </c>
      <c r="G36" s="469">
        <v>0</v>
      </c>
      <c r="H36" s="469">
        <f t="shared" si="14"/>
        <v>2305643</v>
      </c>
      <c r="I36" s="469">
        <f t="shared" si="15"/>
        <v>1261394</v>
      </c>
      <c r="J36" s="443">
        <v>180301</v>
      </c>
      <c r="K36" s="443">
        <v>301</v>
      </c>
      <c r="L36" s="443">
        <v>0</v>
      </c>
      <c r="M36" s="443">
        <v>1080792</v>
      </c>
      <c r="N36" s="443">
        <v>0</v>
      </c>
      <c r="O36" s="444">
        <v>0</v>
      </c>
      <c r="P36" s="444">
        <v>0</v>
      </c>
      <c r="Q36" s="444">
        <v>0</v>
      </c>
      <c r="R36" s="501">
        <v>1044249</v>
      </c>
      <c r="S36" s="928">
        <f t="shared" si="16"/>
        <v>2125041</v>
      </c>
      <c r="T36" s="439">
        <f t="shared" si="3"/>
        <v>0.1431765174085179</v>
      </c>
    </row>
    <row r="37" spans="1:20" s="418" customFormat="1" ht="24.75" customHeight="1">
      <c r="A37" s="468" t="s">
        <v>45</v>
      </c>
      <c r="B37" s="488" t="s">
        <v>472</v>
      </c>
      <c r="C37" s="469">
        <f t="shared" si="13"/>
        <v>1405278</v>
      </c>
      <c r="D37" s="443">
        <v>1074367</v>
      </c>
      <c r="E37" s="443">
        <v>330911</v>
      </c>
      <c r="F37" s="443">
        <v>51000</v>
      </c>
      <c r="G37" s="469">
        <v>0</v>
      </c>
      <c r="H37" s="469">
        <f t="shared" si="14"/>
        <v>1354278</v>
      </c>
      <c r="I37" s="469">
        <f t="shared" si="15"/>
        <v>741057</v>
      </c>
      <c r="J37" s="443">
        <v>79575</v>
      </c>
      <c r="K37" s="443">
        <v>4354</v>
      </c>
      <c r="L37" s="443">
        <v>6008</v>
      </c>
      <c r="M37" s="443">
        <v>651120</v>
      </c>
      <c r="N37" s="443">
        <v>0</v>
      </c>
      <c r="O37" s="444">
        <v>0</v>
      </c>
      <c r="P37" s="444">
        <v>0</v>
      </c>
      <c r="Q37" s="444">
        <v>0</v>
      </c>
      <c r="R37" s="501">
        <v>613221</v>
      </c>
      <c r="S37" s="928">
        <f t="shared" si="16"/>
        <v>1264341</v>
      </c>
      <c r="T37" s="439">
        <f t="shared" si="3"/>
        <v>0.12136313400993445</v>
      </c>
    </row>
    <row r="38" spans="1:20" s="418" customFormat="1" ht="24.75" customHeight="1">
      <c r="A38" s="468" t="s">
        <v>54</v>
      </c>
      <c r="B38" s="488" t="s">
        <v>440</v>
      </c>
      <c r="C38" s="469">
        <f t="shared" si="13"/>
        <v>1367080</v>
      </c>
      <c r="D38" s="465">
        <v>899638</v>
      </c>
      <c r="E38" s="443">
        <v>467442</v>
      </c>
      <c r="F38" s="443">
        <v>6000</v>
      </c>
      <c r="G38" s="469">
        <v>0</v>
      </c>
      <c r="H38" s="469">
        <f t="shared" si="14"/>
        <v>1361080</v>
      </c>
      <c r="I38" s="469">
        <f t="shared" si="15"/>
        <v>1221651</v>
      </c>
      <c r="J38" s="443">
        <v>552578</v>
      </c>
      <c r="K38" s="443">
        <v>21995</v>
      </c>
      <c r="L38" s="443">
        <v>9046</v>
      </c>
      <c r="M38" s="465">
        <v>637032</v>
      </c>
      <c r="N38" s="443">
        <v>0</v>
      </c>
      <c r="O38" s="444">
        <v>0</v>
      </c>
      <c r="P38" s="444">
        <v>0</v>
      </c>
      <c r="Q38" s="444">
        <v>1000</v>
      </c>
      <c r="R38" s="501">
        <v>139429</v>
      </c>
      <c r="S38" s="928">
        <f t="shared" si="16"/>
        <v>777461</v>
      </c>
      <c r="T38" s="439">
        <f t="shared" si="3"/>
        <v>0.47772972804835423</v>
      </c>
    </row>
    <row r="39" spans="1:20" s="418" customFormat="1" ht="24.75" customHeight="1">
      <c r="A39" s="468" t="s">
        <v>55</v>
      </c>
      <c r="B39" s="488" t="s">
        <v>463</v>
      </c>
      <c r="C39" s="469">
        <f t="shared" si="13"/>
        <v>831782</v>
      </c>
      <c r="D39" s="465">
        <v>625502</v>
      </c>
      <c r="E39" s="443">
        <v>206280</v>
      </c>
      <c r="F39" s="443">
        <v>71350</v>
      </c>
      <c r="G39" s="469">
        <v>0</v>
      </c>
      <c r="H39" s="469">
        <f t="shared" si="14"/>
        <v>760432</v>
      </c>
      <c r="I39" s="469">
        <f t="shared" si="15"/>
        <v>218654</v>
      </c>
      <c r="J39" s="443">
        <v>113663</v>
      </c>
      <c r="K39" s="443">
        <v>7826</v>
      </c>
      <c r="L39" s="443">
        <v>2711</v>
      </c>
      <c r="M39" s="465">
        <v>94454</v>
      </c>
      <c r="N39" s="443">
        <v>0</v>
      </c>
      <c r="O39" s="444">
        <v>0</v>
      </c>
      <c r="P39" s="444">
        <v>0</v>
      </c>
      <c r="Q39" s="444">
        <v>0</v>
      </c>
      <c r="R39" s="501">
        <v>541778</v>
      </c>
      <c r="S39" s="928">
        <f t="shared" si="16"/>
        <v>636232</v>
      </c>
      <c r="T39" s="439">
        <f t="shared" si="3"/>
        <v>0.5680207085166519</v>
      </c>
    </row>
    <row r="40" spans="1:20" s="418" customFormat="1" ht="24.75" customHeight="1">
      <c r="A40" s="468" t="s">
        <v>56</v>
      </c>
      <c r="B40" s="489" t="s">
        <v>441</v>
      </c>
      <c r="C40" s="469">
        <f t="shared" si="13"/>
        <v>1365815</v>
      </c>
      <c r="D40" s="500">
        <v>965762</v>
      </c>
      <c r="E40" s="500">
        <v>400053</v>
      </c>
      <c r="F40" s="500">
        <v>200</v>
      </c>
      <c r="G40" s="470">
        <v>0</v>
      </c>
      <c r="H40" s="469">
        <f t="shared" si="14"/>
        <v>1365615</v>
      </c>
      <c r="I40" s="469">
        <f t="shared" si="15"/>
        <v>1127662</v>
      </c>
      <c r="J40" s="500">
        <v>130456</v>
      </c>
      <c r="K40" s="500">
        <v>21998</v>
      </c>
      <c r="L40" s="500">
        <v>8893</v>
      </c>
      <c r="M40" s="500">
        <v>846315</v>
      </c>
      <c r="N40" s="500">
        <v>0</v>
      </c>
      <c r="O40" s="502">
        <v>0</v>
      </c>
      <c r="P40" s="502">
        <v>0</v>
      </c>
      <c r="Q40" s="502">
        <v>120000</v>
      </c>
      <c r="R40" s="501">
        <v>237953</v>
      </c>
      <c r="S40" s="928">
        <f t="shared" si="16"/>
        <v>1204268</v>
      </c>
      <c r="T40" s="439">
        <f t="shared" si="3"/>
        <v>0.143080994127673</v>
      </c>
    </row>
    <row r="41" spans="1:20" s="418" customFormat="1" ht="35.25" customHeight="1">
      <c r="A41" s="454">
        <v>3</v>
      </c>
      <c r="B41" s="451" t="s">
        <v>460</v>
      </c>
      <c r="C41" s="452">
        <f>D41+E41</f>
        <v>21751772</v>
      </c>
      <c r="D41" s="452">
        <f>SUM(D42:D48)</f>
        <v>18672023</v>
      </c>
      <c r="E41" s="452">
        <f>SUM(E42:E48)</f>
        <v>3079749</v>
      </c>
      <c r="F41" s="452">
        <f>SUM(F42:F48)</f>
        <v>28650</v>
      </c>
      <c r="G41" s="452">
        <f>SUM(G42:G48)</f>
        <v>0</v>
      </c>
      <c r="H41" s="452">
        <f aca="true" t="shared" si="17" ref="H41:H49">I41+R41</f>
        <v>21723122</v>
      </c>
      <c r="I41" s="452">
        <f aca="true" t="shared" si="18" ref="I41:I48">SUM(J41:Q41)</f>
        <v>5771742</v>
      </c>
      <c r="J41" s="452">
        <f aca="true" t="shared" si="19" ref="J41:S41">SUM(J42:J48)</f>
        <v>1284520</v>
      </c>
      <c r="K41" s="452">
        <f t="shared" si="19"/>
        <v>399818</v>
      </c>
      <c r="L41" s="452">
        <f t="shared" si="19"/>
        <v>32001</v>
      </c>
      <c r="M41" s="452">
        <f t="shared" si="19"/>
        <v>3803797</v>
      </c>
      <c r="N41" s="452">
        <f t="shared" si="19"/>
        <v>0</v>
      </c>
      <c r="O41" s="452">
        <f t="shared" si="19"/>
        <v>0</v>
      </c>
      <c r="P41" s="452">
        <f t="shared" si="19"/>
        <v>0</v>
      </c>
      <c r="Q41" s="452">
        <f t="shared" si="19"/>
        <v>251606</v>
      </c>
      <c r="R41" s="452">
        <f t="shared" si="19"/>
        <v>15951380</v>
      </c>
      <c r="S41" s="452">
        <f t="shared" si="19"/>
        <v>20006783</v>
      </c>
      <c r="T41" s="453">
        <f t="shared" si="3"/>
        <v>0.29736932108191944</v>
      </c>
    </row>
    <row r="42" spans="1:20" s="418" customFormat="1" ht="24.75" customHeight="1">
      <c r="A42" s="428" t="s">
        <v>43</v>
      </c>
      <c r="B42" s="442" t="s">
        <v>464</v>
      </c>
      <c r="C42" s="429">
        <f aca="true" t="shared" si="20" ref="C42:C62">D42+E42</f>
        <v>301136</v>
      </c>
      <c r="D42" s="473">
        <v>255149</v>
      </c>
      <c r="E42" s="473">
        <v>45987</v>
      </c>
      <c r="F42" s="473">
        <v>0</v>
      </c>
      <c r="G42" s="460">
        <v>0</v>
      </c>
      <c r="H42" s="429">
        <f t="shared" si="17"/>
        <v>301136</v>
      </c>
      <c r="I42" s="429">
        <f t="shared" si="18"/>
        <v>49654</v>
      </c>
      <c r="J42" s="473">
        <v>17454</v>
      </c>
      <c r="K42" s="473">
        <v>0</v>
      </c>
      <c r="L42" s="473">
        <v>0</v>
      </c>
      <c r="M42" s="473">
        <v>28700</v>
      </c>
      <c r="N42" s="473">
        <v>0</v>
      </c>
      <c r="O42" s="473">
        <v>0</v>
      </c>
      <c r="P42" s="473">
        <v>0</v>
      </c>
      <c r="Q42" s="473">
        <v>3500</v>
      </c>
      <c r="R42" s="473">
        <v>251482</v>
      </c>
      <c r="S42" s="429">
        <f aca="true" t="shared" si="21" ref="S42:S48">C42-F42-G42-J42-K42-L42</f>
        <v>283682</v>
      </c>
      <c r="T42" s="439">
        <f t="shared" si="3"/>
        <v>0.3515124662665646</v>
      </c>
    </row>
    <row r="43" spans="1:20" s="418" customFormat="1" ht="24.75" customHeight="1">
      <c r="A43" s="428" t="s">
        <v>44</v>
      </c>
      <c r="B43" s="442" t="s">
        <v>443</v>
      </c>
      <c r="C43" s="429">
        <f t="shared" si="20"/>
        <v>1450876</v>
      </c>
      <c r="D43" s="473">
        <v>1291730</v>
      </c>
      <c r="E43" s="473">
        <v>159146</v>
      </c>
      <c r="F43" s="473">
        <v>0</v>
      </c>
      <c r="G43" s="460">
        <v>0</v>
      </c>
      <c r="H43" s="429">
        <f t="shared" si="17"/>
        <v>1450876</v>
      </c>
      <c r="I43" s="429">
        <f t="shared" si="18"/>
        <v>515069</v>
      </c>
      <c r="J43" s="473">
        <v>258603</v>
      </c>
      <c r="K43" s="473">
        <v>10389</v>
      </c>
      <c r="L43" s="473">
        <v>0</v>
      </c>
      <c r="M43" s="473">
        <v>245775</v>
      </c>
      <c r="N43" s="473">
        <v>0</v>
      </c>
      <c r="O43" s="473">
        <v>0</v>
      </c>
      <c r="P43" s="473">
        <v>0</v>
      </c>
      <c r="Q43" s="473">
        <v>302</v>
      </c>
      <c r="R43" s="473">
        <v>935807</v>
      </c>
      <c r="S43" s="429">
        <f t="shared" si="21"/>
        <v>1181884</v>
      </c>
      <c r="T43" s="439">
        <f t="shared" si="3"/>
        <v>0.5222445924720766</v>
      </c>
    </row>
    <row r="44" spans="1:20" s="418" customFormat="1" ht="24.75" customHeight="1">
      <c r="A44" s="428" t="s">
        <v>45</v>
      </c>
      <c r="B44" s="442" t="s">
        <v>444</v>
      </c>
      <c r="C44" s="429">
        <f t="shared" si="20"/>
        <v>7624276</v>
      </c>
      <c r="D44" s="473">
        <v>7407302</v>
      </c>
      <c r="E44" s="473">
        <v>216974</v>
      </c>
      <c r="F44" s="473">
        <v>400</v>
      </c>
      <c r="G44" s="460">
        <v>0</v>
      </c>
      <c r="H44" s="429">
        <f t="shared" si="17"/>
        <v>7623876</v>
      </c>
      <c r="I44" s="429">
        <f t="shared" si="18"/>
        <v>413594</v>
      </c>
      <c r="J44" s="473">
        <v>191793</v>
      </c>
      <c r="K44" s="473">
        <v>15900</v>
      </c>
      <c r="L44" s="473">
        <v>0</v>
      </c>
      <c r="M44" s="473">
        <v>188501</v>
      </c>
      <c r="N44" s="473">
        <v>0</v>
      </c>
      <c r="O44" s="473">
        <v>0</v>
      </c>
      <c r="P44" s="473">
        <v>0</v>
      </c>
      <c r="Q44" s="473">
        <v>17400</v>
      </c>
      <c r="R44" s="473">
        <v>7210282</v>
      </c>
      <c r="S44" s="429">
        <f t="shared" si="21"/>
        <v>7416183</v>
      </c>
      <c r="T44" s="439">
        <f t="shared" si="3"/>
        <v>0.5021663757211178</v>
      </c>
    </row>
    <row r="45" spans="1:20" s="418" customFormat="1" ht="24.75" customHeight="1">
      <c r="A45" s="428" t="s">
        <v>54</v>
      </c>
      <c r="B45" s="442" t="s">
        <v>445</v>
      </c>
      <c r="C45" s="429">
        <f t="shared" si="20"/>
        <v>3569730</v>
      </c>
      <c r="D45" s="473">
        <v>2815711</v>
      </c>
      <c r="E45" s="473">
        <v>754019</v>
      </c>
      <c r="F45" s="473">
        <v>0</v>
      </c>
      <c r="G45" s="460">
        <v>0</v>
      </c>
      <c r="H45" s="429">
        <f t="shared" si="17"/>
        <v>3569730</v>
      </c>
      <c r="I45" s="429">
        <f t="shared" si="18"/>
        <v>1342384</v>
      </c>
      <c r="J45" s="473">
        <v>301341</v>
      </c>
      <c r="K45" s="473">
        <v>173700</v>
      </c>
      <c r="L45" s="473">
        <v>0</v>
      </c>
      <c r="M45" s="473">
        <v>867142</v>
      </c>
      <c r="N45" s="473">
        <v>0</v>
      </c>
      <c r="O45" s="473">
        <v>0</v>
      </c>
      <c r="P45" s="473">
        <v>0</v>
      </c>
      <c r="Q45" s="473">
        <v>201</v>
      </c>
      <c r="R45" s="473">
        <v>2227346</v>
      </c>
      <c r="S45" s="429">
        <f t="shared" si="21"/>
        <v>3094689</v>
      </c>
      <c r="T45" s="439">
        <f t="shared" si="3"/>
        <v>0.35387862191444475</v>
      </c>
    </row>
    <row r="46" spans="1:20" s="418" customFormat="1" ht="24.75" customHeight="1">
      <c r="A46" s="428">
        <v>5</v>
      </c>
      <c r="B46" s="442" t="s">
        <v>427</v>
      </c>
      <c r="C46" s="429">
        <f t="shared" si="20"/>
        <v>1532909</v>
      </c>
      <c r="D46" s="473">
        <v>1368529</v>
      </c>
      <c r="E46" s="473">
        <v>164380</v>
      </c>
      <c r="F46" s="473">
        <v>0</v>
      </c>
      <c r="G46" s="460"/>
      <c r="H46" s="429">
        <f t="shared" si="17"/>
        <v>1532909</v>
      </c>
      <c r="I46" s="429">
        <f t="shared" si="18"/>
        <v>209103</v>
      </c>
      <c r="J46" s="473">
        <v>44512</v>
      </c>
      <c r="K46" s="473">
        <v>32660</v>
      </c>
      <c r="L46" s="473">
        <v>0</v>
      </c>
      <c r="M46" s="473">
        <v>86190</v>
      </c>
      <c r="N46" s="473">
        <v>0</v>
      </c>
      <c r="O46" s="473">
        <v>0</v>
      </c>
      <c r="P46" s="473">
        <v>0</v>
      </c>
      <c r="Q46" s="473">
        <v>45741</v>
      </c>
      <c r="R46" s="473">
        <v>1323806</v>
      </c>
      <c r="S46" s="429">
        <f t="shared" si="21"/>
        <v>1455737</v>
      </c>
      <c r="T46" s="439">
        <f t="shared" si="3"/>
        <v>0.3690621368416522</v>
      </c>
    </row>
    <row r="47" spans="1:20" s="418" customFormat="1" ht="24.75" customHeight="1">
      <c r="A47" s="428">
        <v>6</v>
      </c>
      <c r="B47" s="442" t="s">
        <v>473</v>
      </c>
      <c r="C47" s="429">
        <f t="shared" si="20"/>
        <v>4096452</v>
      </c>
      <c r="D47" s="473">
        <v>3254194</v>
      </c>
      <c r="E47" s="473">
        <v>842258</v>
      </c>
      <c r="F47" s="473">
        <v>25250</v>
      </c>
      <c r="G47" s="460">
        <v>0</v>
      </c>
      <c r="H47" s="429">
        <f t="shared" si="17"/>
        <v>4071202</v>
      </c>
      <c r="I47" s="429">
        <f t="shared" si="18"/>
        <v>1800948</v>
      </c>
      <c r="J47" s="473">
        <v>225034</v>
      </c>
      <c r="K47" s="473">
        <v>75546</v>
      </c>
      <c r="L47" s="473">
        <v>32001</v>
      </c>
      <c r="M47" s="473">
        <v>1299167</v>
      </c>
      <c r="N47" s="473">
        <v>0</v>
      </c>
      <c r="O47" s="473">
        <v>0</v>
      </c>
      <c r="P47" s="473">
        <v>0</v>
      </c>
      <c r="Q47" s="473">
        <v>169200</v>
      </c>
      <c r="R47" s="473">
        <v>2270254</v>
      </c>
      <c r="S47" s="429">
        <f t="shared" si="21"/>
        <v>3738621</v>
      </c>
      <c r="T47" s="439">
        <f t="shared" si="3"/>
        <v>0.18466996270852906</v>
      </c>
    </row>
    <row r="48" spans="1:20" s="418" customFormat="1" ht="24.75" customHeight="1">
      <c r="A48" s="428">
        <v>7</v>
      </c>
      <c r="B48" s="442" t="s">
        <v>435</v>
      </c>
      <c r="C48" s="429">
        <f t="shared" si="20"/>
        <v>3176393</v>
      </c>
      <c r="D48" s="473">
        <v>2279408</v>
      </c>
      <c r="E48" s="473">
        <v>896985</v>
      </c>
      <c r="F48" s="473">
        <v>3000</v>
      </c>
      <c r="G48" s="460">
        <v>0</v>
      </c>
      <c r="H48" s="429">
        <f t="shared" si="17"/>
        <v>3173393</v>
      </c>
      <c r="I48" s="429">
        <f t="shared" si="18"/>
        <v>1440990</v>
      </c>
      <c r="J48" s="473">
        <v>245783</v>
      </c>
      <c r="K48" s="473">
        <v>91623</v>
      </c>
      <c r="L48" s="473">
        <v>0</v>
      </c>
      <c r="M48" s="473">
        <v>1088322</v>
      </c>
      <c r="N48" s="473">
        <v>0</v>
      </c>
      <c r="O48" s="473">
        <v>0</v>
      </c>
      <c r="P48" s="473">
        <v>0</v>
      </c>
      <c r="Q48" s="473">
        <v>15262</v>
      </c>
      <c r="R48" s="473">
        <v>1732403</v>
      </c>
      <c r="S48" s="429">
        <f t="shared" si="21"/>
        <v>2835987</v>
      </c>
      <c r="T48" s="439">
        <f t="shared" si="3"/>
        <v>0.2341487449600622</v>
      </c>
    </row>
    <row r="49" spans="1:20" s="418" customFormat="1" ht="24.75" customHeight="1">
      <c r="A49" s="454">
        <v>4</v>
      </c>
      <c r="B49" s="451" t="s">
        <v>447</v>
      </c>
      <c r="C49" s="452">
        <f t="shared" si="20"/>
        <v>13812974</v>
      </c>
      <c r="D49" s="452">
        <f aca="true" t="shared" si="22" ref="D49:S49">SUM(D50:D53)</f>
        <v>10602855</v>
      </c>
      <c r="E49" s="452">
        <f t="shared" si="22"/>
        <v>3210119</v>
      </c>
      <c r="F49" s="452">
        <f t="shared" si="22"/>
        <v>7495838</v>
      </c>
      <c r="G49" s="452">
        <f t="shared" si="22"/>
        <v>0</v>
      </c>
      <c r="H49" s="452">
        <f t="shared" si="17"/>
        <v>6317136</v>
      </c>
      <c r="I49" s="452">
        <f t="shared" si="22"/>
        <v>2594433</v>
      </c>
      <c r="J49" s="452">
        <f t="shared" si="22"/>
        <v>1648526</v>
      </c>
      <c r="K49" s="452">
        <f t="shared" si="22"/>
        <v>64797</v>
      </c>
      <c r="L49" s="452">
        <f aca="true" t="shared" si="23" ref="L49:Q49">L50+L51+L53</f>
        <v>0</v>
      </c>
      <c r="M49" s="452">
        <f t="shared" si="22"/>
        <v>696110</v>
      </c>
      <c r="N49" s="452">
        <f t="shared" si="22"/>
        <v>185000</v>
      </c>
      <c r="O49" s="452">
        <f t="shared" si="23"/>
        <v>0</v>
      </c>
      <c r="P49" s="452">
        <f t="shared" si="23"/>
        <v>0</v>
      </c>
      <c r="Q49" s="452">
        <f t="shared" si="23"/>
        <v>0</v>
      </c>
      <c r="R49" s="452">
        <f t="shared" si="22"/>
        <v>3722703</v>
      </c>
      <c r="S49" s="452">
        <f t="shared" si="22"/>
        <v>4603813</v>
      </c>
      <c r="T49" s="453">
        <f>(K49+J49+L49)/I49</f>
        <v>0.6603843691473242</v>
      </c>
    </row>
    <row r="50" spans="1:20" s="418" customFormat="1" ht="24.75" customHeight="1">
      <c r="A50" s="505" t="s">
        <v>43</v>
      </c>
      <c r="B50" s="506" t="s">
        <v>455</v>
      </c>
      <c r="C50" s="480">
        <f>D50+E50</f>
        <v>859022</v>
      </c>
      <c r="D50" s="508">
        <v>770561</v>
      </c>
      <c r="E50" s="508">
        <v>88461</v>
      </c>
      <c r="F50" s="508">
        <v>250</v>
      </c>
      <c r="G50" s="508"/>
      <c r="H50" s="480">
        <f>C50-F50-G50</f>
        <v>858772</v>
      </c>
      <c r="I50" s="480">
        <f>J50+K50+L50+M50+N50+O50+P50+Q50</f>
        <v>133781</v>
      </c>
      <c r="J50" s="508">
        <v>81511</v>
      </c>
      <c r="K50" s="508">
        <v>17770</v>
      </c>
      <c r="L50" s="508"/>
      <c r="M50" s="508">
        <v>34500</v>
      </c>
      <c r="N50" s="508"/>
      <c r="O50" s="508"/>
      <c r="P50" s="508"/>
      <c r="Q50" s="509"/>
      <c r="R50" s="929">
        <f>H50-I50</f>
        <v>724991</v>
      </c>
      <c r="S50" s="929">
        <f>R50+Q50+P50+O50+N50+M50</f>
        <v>759491</v>
      </c>
      <c r="T50" s="923">
        <f>(J50+K50+L50)/I50*100%</f>
        <v>0.7421158460468975</v>
      </c>
    </row>
    <row r="51" spans="1:20" s="418" customFormat="1" ht="24.75" customHeight="1">
      <c r="A51" s="505" t="s">
        <v>44</v>
      </c>
      <c r="B51" s="506" t="s">
        <v>449</v>
      </c>
      <c r="C51" s="480">
        <f>D51+E51</f>
        <v>2591440</v>
      </c>
      <c r="D51" s="508">
        <v>595717</v>
      </c>
      <c r="E51" s="508">
        <v>1995723</v>
      </c>
      <c r="F51" s="508">
        <v>17500</v>
      </c>
      <c r="G51" s="508"/>
      <c r="H51" s="480">
        <f>C51-F51-G51</f>
        <v>2573940</v>
      </c>
      <c r="I51" s="480">
        <f>J51+K51+L51+M51+N51+O51+P51+Q51</f>
        <v>1327202</v>
      </c>
      <c r="J51" s="508">
        <v>959875</v>
      </c>
      <c r="K51" s="508">
        <v>36467</v>
      </c>
      <c r="L51" s="508"/>
      <c r="M51" s="508">
        <v>295860</v>
      </c>
      <c r="N51" s="508">
        <v>35000</v>
      </c>
      <c r="O51" s="508"/>
      <c r="P51" s="508"/>
      <c r="Q51" s="509"/>
      <c r="R51" s="929">
        <f>H51-I51</f>
        <v>1246738</v>
      </c>
      <c r="S51" s="929">
        <f>R51+Q51+P51+O51+N51+M51</f>
        <v>1577598</v>
      </c>
      <c r="T51" s="923">
        <f>(J51+K51+L51)/I51*100%</f>
        <v>0.750708633651848</v>
      </c>
    </row>
    <row r="52" spans="1:20" s="418" customFormat="1" ht="24.75" customHeight="1">
      <c r="A52" s="505" t="s">
        <v>45</v>
      </c>
      <c r="B52" s="506" t="s">
        <v>481</v>
      </c>
      <c r="C52" s="480">
        <f>D52+E52</f>
        <v>9936693</v>
      </c>
      <c r="D52" s="508">
        <v>9136000</v>
      </c>
      <c r="E52" s="508">
        <v>800693</v>
      </c>
      <c r="F52" s="508">
        <v>7461288</v>
      </c>
      <c r="G52" s="508"/>
      <c r="H52" s="480">
        <f>C52-F52-G52</f>
        <v>2475405</v>
      </c>
      <c r="I52" s="480">
        <f>J52+K52+L52+M52+N52+O52+P52+Q52</f>
        <v>878828</v>
      </c>
      <c r="J52" s="508">
        <v>385796</v>
      </c>
      <c r="K52" s="508">
        <v>7305</v>
      </c>
      <c r="L52" s="508"/>
      <c r="M52" s="508">
        <v>335727</v>
      </c>
      <c r="N52" s="508">
        <v>150000</v>
      </c>
      <c r="O52" s="508"/>
      <c r="P52" s="508"/>
      <c r="Q52" s="509"/>
      <c r="R52" s="929">
        <f>H52-I52</f>
        <v>1596577</v>
      </c>
      <c r="S52" s="929">
        <f>R52+Q52+P52+O52+N52+M52</f>
        <v>2082304</v>
      </c>
      <c r="T52" s="923">
        <f>(J52+K52+L52)/I52*100%</f>
        <v>0.4473014059633967</v>
      </c>
    </row>
    <row r="53" spans="1:20" s="418" customFormat="1" ht="24.75" customHeight="1">
      <c r="A53" s="507" t="s">
        <v>54</v>
      </c>
      <c r="B53" s="479" t="s">
        <v>476</v>
      </c>
      <c r="C53" s="480">
        <f>D53+E53</f>
        <v>425819</v>
      </c>
      <c r="D53" s="473">
        <v>100577</v>
      </c>
      <c r="E53" s="473">
        <v>325242</v>
      </c>
      <c r="F53" s="473">
        <v>16800</v>
      </c>
      <c r="G53" s="473"/>
      <c r="H53" s="480">
        <f>C53-F53-G53</f>
        <v>409019</v>
      </c>
      <c r="I53" s="480">
        <f>J53+K53+L53+M53+N53+O53+P53+Q53</f>
        <v>254622</v>
      </c>
      <c r="J53" s="473">
        <v>221344</v>
      </c>
      <c r="K53" s="473">
        <v>3255</v>
      </c>
      <c r="L53" s="473"/>
      <c r="M53" s="473">
        <v>30023</v>
      </c>
      <c r="N53" s="473"/>
      <c r="O53" s="473"/>
      <c r="P53" s="473"/>
      <c r="Q53" s="473"/>
      <c r="R53" s="929">
        <f>H53-I53</f>
        <v>154397</v>
      </c>
      <c r="S53" s="929">
        <f>R53+Q53+P53+O53+N53+M53</f>
        <v>184420</v>
      </c>
      <c r="T53" s="923">
        <f>(J53+K53+L53)/I53*100%</f>
        <v>0.8820879578355366</v>
      </c>
    </row>
    <row r="54" spans="1:20" s="418" customFormat="1" ht="24.75" customHeight="1">
      <c r="A54" s="514">
        <v>5</v>
      </c>
      <c r="B54" s="515" t="s">
        <v>450</v>
      </c>
      <c r="C54" s="516">
        <f t="shared" si="20"/>
        <v>6841879</v>
      </c>
      <c r="D54" s="516">
        <f>SUM(D55:D58)</f>
        <v>4446120</v>
      </c>
      <c r="E54" s="516">
        <f>SUM(E55:E58)</f>
        <v>2395759</v>
      </c>
      <c r="F54" s="516">
        <f>SUM(F55:F58)</f>
        <v>33050</v>
      </c>
      <c r="G54" s="516">
        <f>SUM(G55:G58)</f>
        <v>0</v>
      </c>
      <c r="H54" s="930">
        <f aca="true" t="shared" si="24" ref="H54:H61">I54+R54</f>
        <v>6808829</v>
      </c>
      <c r="I54" s="930">
        <f aca="true" t="shared" si="25" ref="I54:I61">SUM(J54:Q54)</f>
        <v>3812981</v>
      </c>
      <c r="J54" s="516">
        <f aca="true" t="shared" si="26" ref="J54:S54">SUM(J55:J58)</f>
        <v>1275467</v>
      </c>
      <c r="K54" s="516">
        <f t="shared" si="26"/>
        <v>180576</v>
      </c>
      <c r="L54" s="516">
        <f t="shared" si="26"/>
        <v>9226</v>
      </c>
      <c r="M54" s="516">
        <f t="shared" si="26"/>
        <v>2056418</v>
      </c>
      <c r="N54" s="516">
        <f t="shared" si="26"/>
        <v>291294</v>
      </c>
      <c r="O54" s="516">
        <f t="shared" si="26"/>
        <v>0</v>
      </c>
      <c r="P54" s="516">
        <f t="shared" si="26"/>
        <v>0</v>
      </c>
      <c r="Q54" s="516">
        <f t="shared" si="26"/>
        <v>0</v>
      </c>
      <c r="R54" s="516">
        <f t="shared" si="26"/>
        <v>2995848</v>
      </c>
      <c r="S54" s="516">
        <f t="shared" si="26"/>
        <v>5343560</v>
      </c>
      <c r="T54" s="517">
        <f t="shared" si="3"/>
        <v>0.38428436963100526</v>
      </c>
    </row>
    <row r="55" spans="1:20" s="418" customFormat="1" ht="24.75" customHeight="1">
      <c r="A55" s="474" t="s">
        <v>43</v>
      </c>
      <c r="B55" s="551" t="s">
        <v>451</v>
      </c>
      <c r="C55" s="484">
        <f>SUM(D55,E55)</f>
        <v>470301</v>
      </c>
      <c r="D55" s="475">
        <v>335255</v>
      </c>
      <c r="E55" s="475">
        <v>135046</v>
      </c>
      <c r="F55" s="475"/>
      <c r="G55" s="475"/>
      <c r="H55" s="484">
        <f t="shared" si="24"/>
        <v>470301</v>
      </c>
      <c r="I55" s="484">
        <f t="shared" si="25"/>
        <v>240840</v>
      </c>
      <c r="J55" s="475">
        <v>112557</v>
      </c>
      <c r="K55" s="475">
        <v>20500</v>
      </c>
      <c r="L55" s="475"/>
      <c r="M55" s="475">
        <v>107783</v>
      </c>
      <c r="N55" s="475"/>
      <c r="O55" s="476"/>
      <c r="P55" s="476"/>
      <c r="Q55" s="476"/>
      <c r="R55" s="477">
        <v>229461</v>
      </c>
      <c r="S55" s="922">
        <f>C55-SUM(F55,G55,J55:L55)</f>
        <v>337244</v>
      </c>
      <c r="T55" s="935">
        <f>SUM(J55:L55)/I55*100%</f>
        <v>0.5524705198472014</v>
      </c>
    </row>
    <row r="56" spans="1:20" s="418" customFormat="1" ht="24.75" customHeight="1">
      <c r="A56" s="474" t="s">
        <v>44</v>
      </c>
      <c r="B56" s="551" t="s">
        <v>452</v>
      </c>
      <c r="C56" s="484">
        <f>SUM(D56,E56)</f>
        <v>1289500</v>
      </c>
      <c r="D56" s="475">
        <v>888908</v>
      </c>
      <c r="E56" s="475">
        <v>400592</v>
      </c>
      <c r="F56" s="475">
        <v>31150</v>
      </c>
      <c r="G56" s="475"/>
      <c r="H56" s="484">
        <f t="shared" si="24"/>
        <v>1258350</v>
      </c>
      <c r="I56" s="484">
        <f t="shared" si="25"/>
        <v>727106</v>
      </c>
      <c r="J56" s="475">
        <v>203558</v>
      </c>
      <c r="K56" s="475">
        <v>63966</v>
      </c>
      <c r="L56" s="475">
        <v>5542</v>
      </c>
      <c r="M56" s="475">
        <v>162746</v>
      </c>
      <c r="N56" s="475">
        <v>291294</v>
      </c>
      <c r="O56" s="476"/>
      <c r="P56" s="476"/>
      <c r="Q56" s="476"/>
      <c r="R56" s="477">
        <v>531244</v>
      </c>
      <c r="S56" s="922">
        <f>C56-SUM(F56,G56,J56:L56)</f>
        <v>985284</v>
      </c>
      <c r="T56" s="935">
        <f>SUM(J56:L56)/I56*100%</f>
        <v>0.375551845260526</v>
      </c>
    </row>
    <row r="57" spans="1:20" s="418" customFormat="1" ht="24.75" customHeight="1">
      <c r="A57" s="474" t="s">
        <v>45</v>
      </c>
      <c r="B57" s="551" t="s">
        <v>446</v>
      </c>
      <c r="C57" s="484">
        <f>SUM(D57,E57)</f>
        <v>2983261</v>
      </c>
      <c r="D57" s="475">
        <v>2101168</v>
      </c>
      <c r="E57" s="475">
        <v>882093</v>
      </c>
      <c r="F57" s="475"/>
      <c r="G57" s="475"/>
      <c r="H57" s="484">
        <f t="shared" si="24"/>
        <v>2983261</v>
      </c>
      <c r="I57" s="484">
        <f t="shared" si="25"/>
        <v>1277378</v>
      </c>
      <c r="J57" s="475">
        <v>524260</v>
      </c>
      <c r="K57" s="475">
        <v>85187</v>
      </c>
      <c r="L57" s="475"/>
      <c r="M57" s="475">
        <v>667931</v>
      </c>
      <c r="N57" s="475"/>
      <c r="O57" s="476"/>
      <c r="P57" s="476"/>
      <c r="Q57" s="476"/>
      <c r="R57" s="477">
        <v>1705883</v>
      </c>
      <c r="S57" s="922">
        <f>C57-SUM(F57,G57,J57:L57)</f>
        <v>2373814</v>
      </c>
      <c r="T57" s="935">
        <f>SUM(J57:L57)/I57*100%</f>
        <v>0.4771077942472784</v>
      </c>
    </row>
    <row r="58" spans="1:20" s="418" customFormat="1" ht="24.75" customHeight="1">
      <c r="A58" s="474" t="s">
        <v>54</v>
      </c>
      <c r="B58" s="551" t="s">
        <v>453</v>
      </c>
      <c r="C58" s="484">
        <f>SUM(D58,E58)</f>
        <v>2098817</v>
      </c>
      <c r="D58" s="478">
        <v>1120789</v>
      </c>
      <c r="E58" s="478">
        <v>978028</v>
      </c>
      <c r="F58" s="478">
        <v>1900</v>
      </c>
      <c r="G58" s="478"/>
      <c r="H58" s="484">
        <f t="shared" si="24"/>
        <v>2096917</v>
      </c>
      <c r="I58" s="484">
        <f t="shared" si="25"/>
        <v>1567657</v>
      </c>
      <c r="J58" s="478">
        <v>435092</v>
      </c>
      <c r="K58" s="478">
        <v>10923</v>
      </c>
      <c r="L58" s="478">
        <v>3684</v>
      </c>
      <c r="M58" s="478">
        <v>1117958</v>
      </c>
      <c r="N58" s="478"/>
      <c r="O58" s="478"/>
      <c r="P58" s="478"/>
      <c r="Q58" s="478"/>
      <c r="R58" s="478">
        <v>529260</v>
      </c>
      <c r="S58" s="934">
        <f>C58-SUM(F58,G58,J58:L58)</f>
        <v>1647218</v>
      </c>
      <c r="T58" s="935">
        <f>SUM(J58:L58)/I58*100%</f>
        <v>0.2868605823850498</v>
      </c>
    </row>
    <row r="59" spans="1:20" s="418" customFormat="1" ht="28.5" customHeight="1">
      <c r="A59" s="454">
        <v>6</v>
      </c>
      <c r="B59" s="515" t="s">
        <v>454</v>
      </c>
      <c r="C59" s="452">
        <f t="shared" si="20"/>
        <v>1785427</v>
      </c>
      <c r="D59" s="452">
        <f>SUM(D60:D61)</f>
        <v>1051654</v>
      </c>
      <c r="E59" s="452">
        <f>SUM(E60:E61)</f>
        <v>733773</v>
      </c>
      <c r="F59" s="452">
        <f>SUM(F60:F61)</f>
        <v>17400</v>
      </c>
      <c r="G59" s="452">
        <f>SUM(G60:G61)</f>
        <v>0</v>
      </c>
      <c r="H59" s="452">
        <f t="shared" si="24"/>
        <v>1768027</v>
      </c>
      <c r="I59" s="452">
        <f t="shared" si="25"/>
        <v>821455</v>
      </c>
      <c r="J59" s="452">
        <f aca="true" t="shared" si="27" ref="J59:R59">SUM(J60:J61)</f>
        <v>255755</v>
      </c>
      <c r="K59" s="452">
        <f t="shared" si="27"/>
        <v>24072</v>
      </c>
      <c r="L59" s="452">
        <f t="shared" si="27"/>
        <v>0</v>
      </c>
      <c r="M59" s="452">
        <f t="shared" si="27"/>
        <v>541628</v>
      </c>
      <c r="N59" s="452">
        <f t="shared" si="27"/>
        <v>0</v>
      </c>
      <c r="O59" s="452">
        <f t="shared" si="27"/>
        <v>0</v>
      </c>
      <c r="P59" s="452">
        <f t="shared" si="27"/>
        <v>0</v>
      </c>
      <c r="Q59" s="452">
        <f t="shared" si="27"/>
        <v>0</v>
      </c>
      <c r="R59" s="452">
        <f t="shared" si="27"/>
        <v>946572</v>
      </c>
      <c r="S59" s="452">
        <f>C59-F59-G59-J59-K59-L59</f>
        <v>1488200</v>
      </c>
      <c r="T59" s="453">
        <f t="shared" si="3"/>
        <v>0.34064799654271993</v>
      </c>
    </row>
    <row r="60" spans="1:20" s="418" customFormat="1" ht="24.75" customHeight="1">
      <c r="A60" s="487" t="s">
        <v>43</v>
      </c>
      <c r="B60" s="488" t="s">
        <v>448</v>
      </c>
      <c r="C60" s="484">
        <f>SUM(D60,E60)</f>
        <v>1168995</v>
      </c>
      <c r="D60" s="484">
        <v>666435</v>
      </c>
      <c r="E60" s="484">
        <v>502560</v>
      </c>
      <c r="F60" s="484">
        <v>0</v>
      </c>
      <c r="G60" s="484">
        <v>0</v>
      </c>
      <c r="H60" s="484">
        <f t="shared" si="24"/>
        <v>1168995</v>
      </c>
      <c r="I60" s="484">
        <f t="shared" si="25"/>
        <v>680198</v>
      </c>
      <c r="J60" s="484">
        <v>141932</v>
      </c>
      <c r="K60" s="484">
        <v>663</v>
      </c>
      <c r="L60" s="484">
        <v>0</v>
      </c>
      <c r="M60" s="484">
        <v>537603</v>
      </c>
      <c r="N60" s="484">
        <v>0</v>
      </c>
      <c r="O60" s="485">
        <v>0</v>
      </c>
      <c r="P60" s="485">
        <v>0</v>
      </c>
      <c r="Q60" s="485">
        <v>0</v>
      </c>
      <c r="R60" s="486">
        <v>488797</v>
      </c>
      <c r="S60" s="486">
        <f>C60-SUM(F60,G60,J60:L60)</f>
        <v>1026400</v>
      </c>
      <c r="T60" s="931">
        <f>(J60+K60)/I60*100%</f>
        <v>0.20963748790793268</v>
      </c>
    </row>
    <row r="61" spans="1:20" s="418" customFormat="1" ht="24.75" customHeight="1">
      <c r="A61" s="468" t="s">
        <v>44</v>
      </c>
      <c r="B61" s="488" t="s">
        <v>456</v>
      </c>
      <c r="C61" s="484">
        <f>SUM(D61,E61)</f>
        <v>616432</v>
      </c>
      <c r="D61" s="932">
        <v>385219</v>
      </c>
      <c r="E61" s="484">
        <v>231213</v>
      </c>
      <c r="F61" s="932">
        <v>17400</v>
      </c>
      <c r="G61" s="932">
        <v>0</v>
      </c>
      <c r="H61" s="484">
        <f t="shared" si="24"/>
        <v>599032</v>
      </c>
      <c r="I61" s="484">
        <f t="shared" si="25"/>
        <v>141257</v>
      </c>
      <c r="J61" s="932">
        <v>113823</v>
      </c>
      <c r="K61" s="932">
        <v>23409</v>
      </c>
      <c r="L61" s="932">
        <v>0</v>
      </c>
      <c r="M61" s="484">
        <v>4025</v>
      </c>
      <c r="N61" s="932">
        <v>0</v>
      </c>
      <c r="O61" s="933">
        <v>0</v>
      </c>
      <c r="P61" s="933">
        <v>0</v>
      </c>
      <c r="Q61" s="933">
        <v>0</v>
      </c>
      <c r="R61" s="486">
        <v>457775</v>
      </c>
      <c r="S61" s="486">
        <f>C61-SUM(F61,G61,J61:L61)</f>
        <v>461800</v>
      </c>
      <c r="T61" s="931">
        <f>(J61+K61)/I61*100%</f>
        <v>0.9715058368788804</v>
      </c>
    </row>
    <row r="62" spans="1:20" s="418" customFormat="1" ht="24.75" customHeight="1">
      <c r="A62" s="454">
        <v>7</v>
      </c>
      <c r="B62" s="451" t="s">
        <v>457</v>
      </c>
      <c r="C62" s="452">
        <f t="shared" si="20"/>
        <v>2508234</v>
      </c>
      <c r="D62" s="452">
        <f>SUM(D63:D64)</f>
        <v>1844360</v>
      </c>
      <c r="E62" s="452">
        <f>SUM(E63:E64)</f>
        <v>663874</v>
      </c>
      <c r="F62" s="461">
        <f>F63+F64</f>
        <v>2000</v>
      </c>
      <c r="G62" s="452">
        <f aca="true" t="shared" si="28" ref="G62:S62">SUM(G63:G64)</f>
        <v>0</v>
      </c>
      <c r="H62" s="452">
        <f t="shared" si="28"/>
        <v>2506234</v>
      </c>
      <c r="I62" s="452">
        <f t="shared" si="28"/>
        <v>702134</v>
      </c>
      <c r="J62" s="452">
        <f t="shared" si="28"/>
        <v>391214</v>
      </c>
      <c r="K62" s="452">
        <f t="shared" si="28"/>
        <v>1290</v>
      </c>
      <c r="L62" s="452">
        <f t="shared" si="28"/>
        <v>0</v>
      </c>
      <c r="M62" s="452">
        <f t="shared" si="28"/>
        <v>309630</v>
      </c>
      <c r="N62" s="452">
        <f t="shared" si="28"/>
        <v>0</v>
      </c>
      <c r="O62" s="452">
        <f t="shared" si="28"/>
        <v>0</v>
      </c>
      <c r="P62" s="452">
        <f t="shared" si="28"/>
        <v>0</v>
      </c>
      <c r="Q62" s="452">
        <f t="shared" si="28"/>
        <v>0</v>
      </c>
      <c r="R62" s="452">
        <f t="shared" si="28"/>
        <v>1804100</v>
      </c>
      <c r="S62" s="452">
        <f t="shared" si="28"/>
        <v>2113730</v>
      </c>
      <c r="T62" s="453">
        <f t="shared" si="3"/>
        <v>0.5590158004027721</v>
      </c>
    </row>
    <row r="63" spans="1:20" s="418" customFormat="1" ht="24.75" customHeight="1">
      <c r="A63" s="553">
        <v>1</v>
      </c>
      <c r="B63" s="457" t="s">
        <v>458</v>
      </c>
      <c r="C63" s="936">
        <f>D63+E63</f>
        <v>210150</v>
      </c>
      <c r="D63" s="936">
        <v>116700</v>
      </c>
      <c r="E63" s="937">
        <f>93000+450</f>
        <v>93450</v>
      </c>
      <c r="F63" s="936"/>
      <c r="G63" s="937">
        <v>0</v>
      </c>
      <c r="H63" s="937">
        <f>I63+R63</f>
        <v>210150</v>
      </c>
      <c r="I63" s="937">
        <f>J63+K63+L63+M63+N63+O63+P63+Q63</f>
        <v>88450</v>
      </c>
      <c r="J63" s="937">
        <f>76800+300</f>
        <v>77100</v>
      </c>
      <c r="K63" s="937">
        <v>1000</v>
      </c>
      <c r="L63" s="938">
        <v>0</v>
      </c>
      <c r="M63" s="938">
        <f>10200+150</f>
        <v>10350</v>
      </c>
      <c r="N63" s="936">
        <v>0</v>
      </c>
      <c r="O63" s="937">
        <v>0</v>
      </c>
      <c r="P63" s="937">
        <v>0</v>
      </c>
      <c r="Q63" s="937">
        <v>0</v>
      </c>
      <c r="R63" s="937">
        <v>121700</v>
      </c>
      <c r="S63" s="936">
        <f>M63+R63</f>
        <v>132050</v>
      </c>
      <c r="T63" s="939">
        <f>(J63+K63+L63)/I63*100</f>
        <v>88.2984737139627</v>
      </c>
    </row>
    <row r="64" spans="1:20" s="418" customFormat="1" ht="24.75" customHeight="1" thickBot="1">
      <c r="A64" s="553">
        <v>2</v>
      </c>
      <c r="B64" s="457" t="s">
        <v>459</v>
      </c>
      <c r="C64" s="936">
        <f>D64+E64</f>
        <v>2298084</v>
      </c>
      <c r="D64" s="936">
        <v>1727660</v>
      </c>
      <c r="E64" s="937">
        <f>523804+46620</f>
        <v>570424</v>
      </c>
      <c r="F64" s="936">
        <v>2000</v>
      </c>
      <c r="G64" s="937">
        <v>0</v>
      </c>
      <c r="H64" s="937">
        <f>I64+R64</f>
        <v>2296084</v>
      </c>
      <c r="I64" s="937">
        <f>J64+K64+L64+M64+N64+O64+P64+Q64</f>
        <v>613684</v>
      </c>
      <c r="J64" s="937">
        <f>269344+44770</f>
        <v>314114</v>
      </c>
      <c r="K64" s="937">
        <v>290</v>
      </c>
      <c r="L64" s="938">
        <v>0</v>
      </c>
      <c r="M64" s="938">
        <f>299430-150</f>
        <v>299280</v>
      </c>
      <c r="N64" s="936">
        <v>0</v>
      </c>
      <c r="O64" s="937">
        <v>0</v>
      </c>
      <c r="P64" s="937">
        <v>0</v>
      </c>
      <c r="Q64" s="937">
        <v>0</v>
      </c>
      <c r="R64" s="937">
        <v>1682400</v>
      </c>
      <c r="S64" s="936">
        <f>M64+R64</f>
        <v>1981680</v>
      </c>
      <c r="T64" s="939">
        <f>(J64+K64+L64)/I64*100</f>
        <v>51.23223026834658</v>
      </c>
    </row>
    <row r="65" spans="1:21" s="384" customFormat="1" ht="24.75" customHeight="1" hidden="1" thickBot="1">
      <c r="A65" s="865"/>
      <c r="B65" s="865"/>
      <c r="C65" s="865"/>
      <c r="D65" s="865"/>
      <c r="E65" s="865"/>
      <c r="F65" s="865"/>
      <c r="G65" s="865"/>
      <c r="H65" s="865"/>
      <c r="I65" s="865"/>
      <c r="J65" s="865"/>
      <c r="K65" s="865"/>
      <c r="L65" s="865"/>
      <c r="M65" s="865"/>
      <c r="N65" s="865"/>
      <c r="O65" s="865"/>
      <c r="P65" s="865"/>
      <c r="Q65" s="865"/>
      <c r="R65" s="865"/>
      <c r="S65" s="865"/>
      <c r="T65" s="865"/>
      <c r="U65" s="865"/>
    </row>
    <row r="66" spans="1:20" s="383" customFormat="1" ht="29.25" customHeight="1" thickTop="1">
      <c r="A66" s="869"/>
      <c r="B66" s="869"/>
      <c r="C66" s="869"/>
      <c r="D66" s="869"/>
      <c r="E66" s="869"/>
      <c r="F66" s="430"/>
      <c r="G66" s="431"/>
      <c r="H66" s="431"/>
      <c r="I66" s="431"/>
      <c r="J66" s="431"/>
      <c r="K66" s="431"/>
      <c r="L66" s="431"/>
      <c r="M66" s="431"/>
      <c r="N66" s="431"/>
      <c r="O66" s="890" t="str">
        <f>'Thong tin'!B8</f>
        <v>Tuyên Quang, ngày  01 tháng 06  năm 2018</v>
      </c>
      <c r="P66" s="890"/>
      <c r="Q66" s="890"/>
      <c r="R66" s="890"/>
      <c r="S66" s="890"/>
      <c r="T66" s="890"/>
    </row>
    <row r="67" spans="1:20" s="397" customFormat="1" ht="19.5" customHeight="1">
      <c r="A67" s="432"/>
      <c r="B67" s="884" t="s">
        <v>4</v>
      </c>
      <c r="C67" s="884"/>
      <c r="D67" s="884"/>
      <c r="E67" s="884"/>
      <c r="F67" s="433"/>
      <c r="G67" s="433"/>
      <c r="H67" s="433"/>
      <c r="I67" s="433"/>
      <c r="J67" s="433"/>
      <c r="K67" s="433"/>
      <c r="L67" s="433"/>
      <c r="M67" s="433"/>
      <c r="N67" s="433"/>
      <c r="O67" s="887" t="str">
        <f>'Thong tin'!B7</f>
        <v>CỤC TRƯỞNG</v>
      </c>
      <c r="P67" s="887"/>
      <c r="Q67" s="887"/>
      <c r="R67" s="887"/>
      <c r="S67" s="887"/>
      <c r="T67" s="887"/>
    </row>
    <row r="68" spans="1:20" ht="18.75">
      <c r="A68" s="403"/>
      <c r="B68" s="858"/>
      <c r="C68" s="858"/>
      <c r="D68" s="858"/>
      <c r="E68" s="404"/>
      <c r="F68" s="404"/>
      <c r="G68" s="404"/>
      <c r="H68" s="404"/>
      <c r="I68" s="404"/>
      <c r="J68" s="404"/>
      <c r="K68" s="404"/>
      <c r="L68" s="404"/>
      <c r="M68" s="404"/>
      <c r="N68" s="404"/>
      <c r="O68" s="857"/>
      <c r="P68" s="857"/>
      <c r="Q68" s="857"/>
      <c r="R68" s="857"/>
      <c r="S68" s="857"/>
      <c r="T68" s="857"/>
    </row>
    <row r="69" spans="1:20" ht="18.75">
      <c r="A69" s="403"/>
      <c r="B69" s="403"/>
      <c r="C69" s="403"/>
      <c r="D69" s="404"/>
      <c r="E69" s="404"/>
      <c r="F69" s="404"/>
      <c r="G69" s="404"/>
      <c r="H69" s="404"/>
      <c r="I69" s="404"/>
      <c r="J69" s="404"/>
      <c r="K69" s="404"/>
      <c r="L69" s="404"/>
      <c r="M69" s="404"/>
      <c r="N69" s="404"/>
      <c r="O69" s="404"/>
      <c r="P69" s="404"/>
      <c r="Q69" s="404"/>
      <c r="R69" s="404"/>
      <c r="S69" s="403"/>
      <c r="T69" s="403"/>
    </row>
    <row r="70" spans="1:20" ht="15.75">
      <c r="A70" s="402"/>
      <c r="B70" s="875"/>
      <c r="C70" s="875"/>
      <c r="D70" s="875"/>
      <c r="E70" s="411"/>
      <c r="F70" s="411"/>
      <c r="G70" s="411"/>
      <c r="H70" s="411"/>
      <c r="I70" s="411"/>
      <c r="J70" s="411"/>
      <c r="K70" s="411"/>
      <c r="L70" s="411"/>
      <c r="M70" s="411"/>
      <c r="N70" s="411"/>
      <c r="O70" s="411"/>
      <c r="P70" s="411"/>
      <c r="Q70" s="875"/>
      <c r="R70" s="875"/>
      <c r="S70" s="875"/>
      <c r="T70" s="402"/>
    </row>
    <row r="71" spans="1:20" ht="15.75" customHeight="1">
      <c r="A71" s="412"/>
      <c r="B71" s="408"/>
      <c r="C71" s="408"/>
      <c r="D71" s="413"/>
      <c r="E71" s="413"/>
      <c r="F71" s="413"/>
      <c r="G71" s="413"/>
      <c r="H71" s="413"/>
      <c r="I71" s="413"/>
      <c r="J71" s="413"/>
      <c r="K71" s="413"/>
      <c r="L71" s="413"/>
      <c r="M71" s="413"/>
      <c r="N71" s="413"/>
      <c r="O71" s="413"/>
      <c r="P71" s="413"/>
      <c r="Q71" s="413"/>
      <c r="R71" s="413"/>
      <c r="S71" s="408"/>
      <c r="T71" s="408"/>
    </row>
    <row r="72" spans="1:20" ht="15.75" customHeight="1">
      <c r="A72" s="402"/>
      <c r="B72" s="874"/>
      <c r="C72" s="874"/>
      <c r="D72" s="874"/>
      <c r="E72" s="874"/>
      <c r="F72" s="874"/>
      <c r="G72" s="874"/>
      <c r="H72" s="874"/>
      <c r="I72" s="874"/>
      <c r="J72" s="874"/>
      <c r="K72" s="874"/>
      <c r="L72" s="874"/>
      <c r="M72" s="874"/>
      <c r="N72" s="874"/>
      <c r="O72" s="874"/>
      <c r="P72" s="874"/>
      <c r="Q72" s="411"/>
      <c r="R72" s="411"/>
      <c r="S72" s="402"/>
      <c r="T72" s="402"/>
    </row>
    <row r="73" spans="1:20" ht="15.75">
      <c r="A73" s="414"/>
      <c r="B73" s="414"/>
      <c r="C73" s="414"/>
      <c r="D73" s="414"/>
      <c r="E73" s="414"/>
      <c r="F73" s="414"/>
      <c r="G73" s="414"/>
      <c r="H73" s="414"/>
      <c r="I73" s="414"/>
      <c r="J73" s="414"/>
      <c r="K73" s="414"/>
      <c r="L73" s="414"/>
      <c r="M73" s="414"/>
      <c r="N73" s="414"/>
      <c r="O73" s="414"/>
      <c r="P73" s="414"/>
      <c r="Q73" s="414"/>
      <c r="R73" s="402"/>
      <c r="S73" s="402"/>
      <c r="T73" s="402"/>
    </row>
    <row r="74" spans="1:20" ht="18.75">
      <c r="A74" s="402"/>
      <c r="B74" s="873" t="s">
        <v>469</v>
      </c>
      <c r="C74" s="873"/>
      <c r="D74" s="873"/>
      <c r="E74" s="873"/>
      <c r="F74" s="408"/>
      <c r="G74" s="408"/>
      <c r="H74" s="408"/>
      <c r="I74" s="408"/>
      <c r="J74" s="408"/>
      <c r="K74" s="408"/>
      <c r="L74" s="408"/>
      <c r="M74" s="408"/>
      <c r="N74" s="408"/>
      <c r="O74" s="873" t="str">
        <f>'Thong tin'!B6</f>
        <v>Nguyễn Tuyên </v>
      </c>
      <c r="P74" s="873"/>
      <c r="Q74" s="873"/>
      <c r="R74" s="873"/>
      <c r="S74" s="873"/>
      <c r="T74" s="873"/>
    </row>
    <row r="75" spans="2:20" ht="18.75">
      <c r="B75" s="871"/>
      <c r="C75" s="871"/>
      <c r="D75" s="871"/>
      <c r="E75" s="871"/>
      <c r="F75" s="384"/>
      <c r="G75" s="384"/>
      <c r="H75" s="384"/>
      <c r="I75" s="384"/>
      <c r="J75" s="384"/>
      <c r="K75" s="384"/>
      <c r="L75" s="384"/>
      <c r="M75" s="384"/>
      <c r="N75" s="384"/>
      <c r="O75" s="384"/>
      <c r="P75" s="871"/>
      <c r="Q75" s="871"/>
      <c r="R75" s="871"/>
      <c r="S75" s="871"/>
      <c r="T75" s="872"/>
    </row>
  </sheetData>
  <sheetProtection/>
  <mergeCells count="40">
    <mergeCell ref="A2:D2"/>
    <mergeCell ref="Q2:T2"/>
    <mergeCell ref="B67:E67"/>
    <mergeCell ref="A10:B10"/>
    <mergeCell ref="H7:H9"/>
    <mergeCell ref="O67:T67"/>
    <mergeCell ref="T6:T9"/>
    <mergeCell ref="O66:T66"/>
    <mergeCell ref="S6:S9"/>
    <mergeCell ref="C7:C9"/>
    <mergeCell ref="E1:P1"/>
    <mergeCell ref="E2:P2"/>
    <mergeCell ref="E3:P3"/>
    <mergeCell ref="F6:F9"/>
    <mergeCell ref="G6:G9"/>
    <mergeCell ref="H6:R6"/>
    <mergeCell ref="C6:E6"/>
    <mergeCell ref="I7:Q7"/>
    <mergeCell ref="I8:I9"/>
    <mergeCell ref="R7:R9"/>
    <mergeCell ref="A3:D3"/>
    <mergeCell ref="A66:E66"/>
    <mergeCell ref="Q4:T4"/>
    <mergeCell ref="B75:E75"/>
    <mergeCell ref="P75:T75"/>
    <mergeCell ref="B74:E74"/>
    <mergeCell ref="B72:P72"/>
    <mergeCell ref="O74:T74"/>
    <mergeCell ref="Q70:S70"/>
    <mergeCell ref="B70:D70"/>
    <mergeCell ref="O68:T68"/>
    <mergeCell ref="B68:D68"/>
    <mergeCell ref="A6:B9"/>
    <mergeCell ref="Q5:T5"/>
    <mergeCell ref="D7:E7"/>
    <mergeCell ref="D8:D9"/>
    <mergeCell ref="E8:E9"/>
    <mergeCell ref="J8:Q8"/>
    <mergeCell ref="A65:U65"/>
    <mergeCell ref="B24:C24"/>
  </mergeCells>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A50:B53" numberStoredAsText="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V77"/>
  <sheetViews>
    <sheetView showZeros="0" zoomScaleSheetLayoutView="85" zoomScalePageLayoutView="0" workbookViewId="0" topLeftCell="A7">
      <pane ySplit="4" topLeftCell="A58" activePane="bottomLeft" state="frozen"/>
      <selection pane="topLeft" activeCell="A7" sqref="A7"/>
      <selection pane="bottomLeft" activeCell="J59" sqref="J59"/>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8.75390625" style="23" customWidth="1"/>
    <col min="11"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7.375" style="23" customWidth="1"/>
    <col min="19" max="19" width="7.25390625" style="23" customWidth="1"/>
    <col min="20" max="16384" width="9.00390625" style="23" customWidth="1"/>
  </cols>
  <sheetData>
    <row r="1" spans="1:19" ht="20.25" customHeight="1">
      <c r="A1" s="387" t="s">
        <v>27</v>
      </c>
      <c r="B1" s="387"/>
      <c r="C1" s="387"/>
      <c r="E1" s="899" t="s">
        <v>62</v>
      </c>
      <c r="F1" s="899"/>
      <c r="G1" s="899"/>
      <c r="H1" s="899"/>
      <c r="I1" s="899"/>
      <c r="J1" s="899"/>
      <c r="K1" s="899"/>
      <c r="L1" s="899"/>
      <c r="M1" s="899"/>
      <c r="N1" s="899"/>
      <c r="O1" s="899"/>
      <c r="P1" s="378" t="s">
        <v>414</v>
      </c>
      <c r="Q1" s="378"/>
      <c r="R1" s="378"/>
      <c r="S1" s="378"/>
    </row>
    <row r="2" spans="1:19" ht="17.25" customHeight="1">
      <c r="A2" s="891" t="s">
        <v>226</v>
      </c>
      <c r="B2" s="891"/>
      <c r="C2" s="891"/>
      <c r="D2" s="891"/>
      <c r="E2" s="900" t="s">
        <v>34</v>
      </c>
      <c r="F2" s="900"/>
      <c r="G2" s="900"/>
      <c r="H2" s="900"/>
      <c r="I2" s="900"/>
      <c r="J2" s="900"/>
      <c r="K2" s="900"/>
      <c r="L2" s="900"/>
      <c r="M2" s="900"/>
      <c r="N2" s="900"/>
      <c r="O2" s="900"/>
      <c r="P2" s="892" t="str">
        <f>'Thong tin'!B4</f>
        <v>Cục THADS tỉnh Tuyên Quang</v>
      </c>
      <c r="Q2" s="892"/>
      <c r="R2" s="892"/>
      <c r="S2" s="892"/>
    </row>
    <row r="3" spans="1:19" ht="19.5" customHeight="1">
      <c r="A3" s="891" t="s">
        <v>227</v>
      </c>
      <c r="B3" s="891"/>
      <c r="C3" s="891"/>
      <c r="D3" s="891"/>
      <c r="E3" s="901" t="str">
        <f>'Thong tin'!B3</f>
        <v>08 tháng / năm 2018</v>
      </c>
      <c r="F3" s="901"/>
      <c r="G3" s="901"/>
      <c r="H3" s="901"/>
      <c r="I3" s="901"/>
      <c r="J3" s="901"/>
      <c r="K3" s="901"/>
      <c r="L3" s="901"/>
      <c r="M3" s="901"/>
      <c r="N3" s="901"/>
      <c r="O3" s="901"/>
      <c r="P3" s="378" t="s">
        <v>415</v>
      </c>
      <c r="Q3" s="387"/>
      <c r="R3" s="378"/>
      <c r="S3" s="378"/>
    </row>
    <row r="4" spans="1:19" ht="14.25" customHeight="1">
      <c r="A4" s="381" t="s">
        <v>105</v>
      </c>
      <c r="B4" s="387"/>
      <c r="C4" s="387"/>
      <c r="D4" s="387"/>
      <c r="E4" s="387"/>
      <c r="F4" s="387"/>
      <c r="G4" s="387"/>
      <c r="H4" s="387"/>
      <c r="I4" s="387"/>
      <c r="J4" s="387"/>
      <c r="K4" s="387"/>
      <c r="L4" s="387"/>
      <c r="M4" s="387"/>
      <c r="N4" s="390"/>
      <c r="O4" s="390"/>
      <c r="P4" s="906" t="s">
        <v>289</v>
      </c>
      <c r="Q4" s="906"/>
      <c r="R4" s="906"/>
      <c r="S4" s="906"/>
    </row>
    <row r="5" spans="2:19" ht="21.75" customHeight="1">
      <c r="B5" s="385"/>
      <c r="C5" s="385"/>
      <c r="Q5" s="391" t="s">
        <v>225</v>
      </c>
      <c r="R5" s="392"/>
      <c r="S5" s="392"/>
    </row>
    <row r="6" spans="1:19" ht="18.75" customHeight="1">
      <c r="A6" s="896" t="s">
        <v>53</v>
      </c>
      <c r="B6" s="896"/>
      <c r="C6" s="898" t="s">
        <v>106</v>
      </c>
      <c r="D6" s="898"/>
      <c r="E6" s="898"/>
      <c r="F6" s="902" t="s">
        <v>97</v>
      </c>
      <c r="G6" s="897" t="s">
        <v>107</v>
      </c>
      <c r="H6" s="905" t="s">
        <v>98</v>
      </c>
      <c r="I6" s="905"/>
      <c r="J6" s="905"/>
      <c r="K6" s="905"/>
      <c r="L6" s="905"/>
      <c r="M6" s="905"/>
      <c r="N6" s="905"/>
      <c r="O6" s="905"/>
      <c r="P6" s="905"/>
      <c r="Q6" s="905"/>
      <c r="R6" s="898" t="s">
        <v>231</v>
      </c>
      <c r="S6" s="898" t="s">
        <v>417</v>
      </c>
    </row>
    <row r="7" spans="1:19" s="378" customFormat="1" ht="18.75" customHeight="1">
      <c r="A7" s="896"/>
      <c r="B7" s="896"/>
      <c r="C7" s="898" t="s">
        <v>42</v>
      </c>
      <c r="D7" s="909" t="s">
        <v>7</v>
      </c>
      <c r="E7" s="909"/>
      <c r="F7" s="903"/>
      <c r="G7" s="897"/>
      <c r="H7" s="897" t="s">
        <v>98</v>
      </c>
      <c r="I7" s="898" t="s">
        <v>99</v>
      </c>
      <c r="J7" s="898"/>
      <c r="K7" s="898"/>
      <c r="L7" s="898"/>
      <c r="M7" s="898"/>
      <c r="N7" s="898"/>
      <c r="O7" s="898"/>
      <c r="P7" s="898"/>
      <c r="Q7" s="897" t="s">
        <v>103</v>
      </c>
      <c r="R7" s="898"/>
      <c r="S7" s="898"/>
    </row>
    <row r="8" spans="1:19" ht="18.75" customHeight="1">
      <c r="A8" s="896"/>
      <c r="B8" s="896"/>
      <c r="C8" s="898"/>
      <c r="D8" s="909" t="s">
        <v>109</v>
      </c>
      <c r="E8" s="909" t="s">
        <v>110</v>
      </c>
      <c r="F8" s="903"/>
      <c r="G8" s="897"/>
      <c r="H8" s="897"/>
      <c r="I8" s="897" t="s">
        <v>416</v>
      </c>
      <c r="J8" s="909" t="s">
        <v>7</v>
      </c>
      <c r="K8" s="909"/>
      <c r="L8" s="909"/>
      <c r="M8" s="909"/>
      <c r="N8" s="909"/>
      <c r="O8" s="909"/>
      <c r="P8" s="909"/>
      <c r="Q8" s="897"/>
      <c r="R8" s="898"/>
      <c r="S8" s="898"/>
    </row>
    <row r="9" spans="1:19" ht="134.25" customHeight="1">
      <c r="A9" s="896"/>
      <c r="B9" s="896"/>
      <c r="C9" s="898"/>
      <c r="D9" s="909"/>
      <c r="E9" s="909"/>
      <c r="F9" s="904"/>
      <c r="G9" s="897"/>
      <c r="H9" s="897"/>
      <c r="I9" s="897"/>
      <c r="J9" s="393" t="s">
        <v>111</v>
      </c>
      <c r="K9" s="393" t="s">
        <v>112</v>
      </c>
      <c r="L9" s="394" t="s">
        <v>100</v>
      </c>
      <c r="M9" s="394" t="s">
        <v>113</v>
      </c>
      <c r="N9" s="394" t="s">
        <v>101</v>
      </c>
      <c r="O9" s="394" t="s">
        <v>232</v>
      </c>
      <c r="P9" s="394" t="s">
        <v>102</v>
      </c>
      <c r="Q9" s="897"/>
      <c r="R9" s="898"/>
      <c r="S9" s="898"/>
    </row>
    <row r="10" spans="1:19" ht="22.5" customHeight="1">
      <c r="A10" s="910" t="s">
        <v>6</v>
      </c>
      <c r="B10" s="911"/>
      <c r="C10" s="395">
        <v>1</v>
      </c>
      <c r="D10" s="395">
        <v>2</v>
      </c>
      <c r="E10" s="395">
        <v>3</v>
      </c>
      <c r="F10" s="395">
        <v>4</v>
      </c>
      <c r="G10" s="395">
        <v>5</v>
      </c>
      <c r="H10" s="395">
        <v>6</v>
      </c>
      <c r="I10" s="395">
        <v>7</v>
      </c>
      <c r="J10" s="395">
        <v>8</v>
      </c>
      <c r="K10" s="395">
        <v>9</v>
      </c>
      <c r="L10" s="395">
        <v>10</v>
      </c>
      <c r="M10" s="395">
        <v>11</v>
      </c>
      <c r="N10" s="395">
        <v>12</v>
      </c>
      <c r="O10" s="395">
        <v>13</v>
      </c>
      <c r="P10" s="395">
        <v>14</v>
      </c>
      <c r="Q10" s="395">
        <v>15</v>
      </c>
      <c r="R10" s="395">
        <v>16</v>
      </c>
      <c r="S10" s="396">
        <v>17</v>
      </c>
    </row>
    <row r="11" spans="1:20" ht="25.5" customHeight="1">
      <c r="A11" s="917" t="s">
        <v>30</v>
      </c>
      <c r="B11" s="918"/>
      <c r="C11" s="919">
        <f>C12+C25+C35+C42+C50+C55+C60+C63</f>
        <v>4879</v>
      </c>
      <c r="D11" s="919">
        <f>D12+D25+D35+D42+D50+D55+D60+D63</f>
        <v>1580</v>
      </c>
      <c r="E11" s="919">
        <f>E12+E25+E35+E42+E50+E55+E60+E63</f>
        <v>3299</v>
      </c>
      <c r="F11" s="919">
        <f>F12+F25+F35+F42+F50+F55+F60+F63</f>
        <v>30</v>
      </c>
      <c r="G11" s="919">
        <f>G12+G25+G35+G42+G50+G55+G60+G63</f>
        <v>0</v>
      </c>
      <c r="H11" s="919">
        <f>I11+Q11</f>
        <v>4849</v>
      </c>
      <c r="I11" s="919">
        <f aca="true" t="shared" si="0" ref="I11:R11">I12+I25+I35+I42+I50+I55+I60+I63</f>
        <v>3572</v>
      </c>
      <c r="J11" s="919">
        <f t="shared" si="0"/>
        <v>2947</v>
      </c>
      <c r="K11" s="919">
        <f t="shared" si="0"/>
        <v>58</v>
      </c>
      <c r="L11" s="919">
        <f t="shared" si="0"/>
        <v>487</v>
      </c>
      <c r="M11" s="919">
        <f t="shared" si="0"/>
        <v>41</v>
      </c>
      <c r="N11" s="919">
        <f t="shared" si="0"/>
        <v>0</v>
      </c>
      <c r="O11" s="919">
        <f t="shared" si="0"/>
        <v>0</v>
      </c>
      <c r="P11" s="919">
        <f t="shared" si="0"/>
        <v>39</v>
      </c>
      <c r="Q11" s="919">
        <f t="shared" si="0"/>
        <v>1277</v>
      </c>
      <c r="R11" s="919">
        <f t="shared" si="0"/>
        <v>1844</v>
      </c>
      <c r="S11" s="920">
        <f>SUM(J11:K11)/SUM(I11)*100%</f>
        <v>0.8412653975363942</v>
      </c>
      <c r="T11" s="416"/>
    </row>
    <row r="12" spans="1:19" ht="15">
      <c r="A12" s="520" t="s">
        <v>0</v>
      </c>
      <c r="B12" s="916" t="s">
        <v>76</v>
      </c>
      <c r="C12" s="518">
        <f>D12+E12</f>
        <v>242</v>
      </c>
      <c r="D12" s="518">
        <f aca="true" t="shared" si="1" ref="D12:R12">SUM(D15:D23)</f>
        <v>167</v>
      </c>
      <c r="E12" s="518">
        <f t="shared" si="1"/>
        <v>75</v>
      </c>
      <c r="F12" s="518">
        <f t="shared" si="1"/>
        <v>0</v>
      </c>
      <c r="G12" s="518">
        <f t="shared" si="1"/>
        <v>0</v>
      </c>
      <c r="H12" s="518">
        <f t="shared" si="1"/>
        <v>242</v>
      </c>
      <c r="I12" s="518">
        <f t="shared" si="1"/>
        <v>86</v>
      </c>
      <c r="J12" s="518">
        <f t="shared" si="1"/>
        <v>58</v>
      </c>
      <c r="K12" s="518">
        <f t="shared" si="1"/>
        <v>1</v>
      </c>
      <c r="L12" s="518">
        <f t="shared" si="1"/>
        <v>27</v>
      </c>
      <c r="M12" s="518">
        <f t="shared" si="1"/>
        <v>0</v>
      </c>
      <c r="N12" s="518">
        <f t="shared" si="1"/>
        <v>0</v>
      </c>
      <c r="O12" s="518">
        <f t="shared" si="1"/>
        <v>0</v>
      </c>
      <c r="P12" s="518">
        <f t="shared" si="1"/>
        <v>0</v>
      </c>
      <c r="Q12" s="518">
        <f t="shared" si="1"/>
        <v>156</v>
      </c>
      <c r="R12" s="518">
        <f t="shared" si="1"/>
        <v>183</v>
      </c>
      <c r="S12" s="519">
        <f aca="true" t="shared" si="2" ref="S12:S60">SUM(J12:K12)/SUM(I12)*100%</f>
        <v>0.686046511627907</v>
      </c>
    </row>
    <row r="13" spans="1:19" ht="18.75" customHeight="1">
      <c r="A13" s="507" t="s">
        <v>43</v>
      </c>
      <c r="B13" s="521" t="s">
        <v>428</v>
      </c>
      <c r="C13" s="522">
        <f>D13+E13</f>
        <v>0</v>
      </c>
      <c r="D13" s="522"/>
      <c r="E13" s="522"/>
      <c r="F13" s="522"/>
      <c r="G13" s="522"/>
      <c r="H13" s="522">
        <f>I13+Q13</f>
        <v>0</v>
      </c>
      <c r="I13" s="522">
        <f aca="true" t="shared" si="3" ref="I13:I23">SUM(J13:P13)</f>
        <v>0</v>
      </c>
      <c r="J13" s="522"/>
      <c r="K13" s="522"/>
      <c r="L13" s="522"/>
      <c r="M13" s="522"/>
      <c r="N13" s="522"/>
      <c r="O13" s="522"/>
      <c r="P13" s="522"/>
      <c r="Q13" s="522"/>
      <c r="R13" s="522">
        <f>(C13-F13-J13-K13)</f>
        <v>0</v>
      </c>
      <c r="S13" s="921" t="e">
        <f t="shared" si="2"/>
        <v>#DIV/0!</v>
      </c>
    </row>
    <row r="14" spans="1:19" ht="18.75" customHeight="1">
      <c r="A14" s="507" t="s">
        <v>44</v>
      </c>
      <c r="B14" s="521" t="s">
        <v>478</v>
      </c>
      <c r="C14" s="522">
        <f>D14+E14</f>
        <v>0</v>
      </c>
      <c r="D14" s="522"/>
      <c r="E14" s="522"/>
      <c r="F14" s="522"/>
      <c r="G14" s="522"/>
      <c r="H14" s="522">
        <f>I14+Q14</f>
        <v>0</v>
      </c>
      <c r="I14" s="522">
        <f t="shared" si="3"/>
        <v>0</v>
      </c>
      <c r="J14" s="522"/>
      <c r="K14" s="522"/>
      <c r="L14" s="522"/>
      <c r="M14" s="522"/>
      <c r="N14" s="522"/>
      <c r="O14" s="522"/>
      <c r="P14" s="522"/>
      <c r="Q14" s="522"/>
      <c r="R14" s="522">
        <f>(C14-F14-J14-K14)</f>
        <v>0</v>
      </c>
      <c r="S14" s="921" t="e">
        <f t="shared" si="2"/>
        <v>#DIV/0!</v>
      </c>
    </row>
    <row r="15" spans="1:19" ht="18.75" customHeight="1">
      <c r="A15" s="507" t="s">
        <v>45</v>
      </c>
      <c r="B15" s="523" t="s">
        <v>423</v>
      </c>
      <c r="C15" s="947">
        <f aca="true" t="shared" si="4" ref="C15:C23">SUM(D15,E15)</f>
        <v>37</v>
      </c>
      <c r="D15" s="490">
        <v>19</v>
      </c>
      <c r="E15" s="491">
        <v>18</v>
      </c>
      <c r="F15" s="484"/>
      <c r="G15" s="484">
        <v>0</v>
      </c>
      <c r="H15" s="484">
        <f>C15-F15+G15</f>
        <v>37</v>
      </c>
      <c r="I15" s="484">
        <f t="shared" si="3"/>
        <v>21</v>
      </c>
      <c r="J15" s="491">
        <v>12</v>
      </c>
      <c r="K15" s="491">
        <v>0</v>
      </c>
      <c r="L15" s="491">
        <v>9</v>
      </c>
      <c r="M15" s="484"/>
      <c r="N15" s="485"/>
      <c r="O15" s="485"/>
      <c r="P15" s="485"/>
      <c r="Q15" s="486">
        <v>16</v>
      </c>
      <c r="R15" s="948">
        <f>C15-SUM(F15,G15,J15,K15)</f>
        <v>25</v>
      </c>
      <c r="S15" s="921">
        <f t="shared" si="2"/>
        <v>0.5714285714285714</v>
      </c>
    </row>
    <row r="16" spans="1:19" ht="18.75" customHeight="1">
      <c r="A16" s="507" t="s">
        <v>54</v>
      </c>
      <c r="B16" s="523" t="s">
        <v>424</v>
      </c>
      <c r="C16" s="947">
        <f t="shared" si="4"/>
        <v>34</v>
      </c>
      <c r="D16" s="490">
        <v>14</v>
      </c>
      <c r="E16" s="491">
        <v>20</v>
      </c>
      <c r="F16" s="484"/>
      <c r="G16" s="484">
        <v>0</v>
      </c>
      <c r="H16" s="484">
        <f>C16-F16+G16</f>
        <v>34</v>
      </c>
      <c r="I16" s="484">
        <f t="shared" si="3"/>
        <v>25</v>
      </c>
      <c r="J16" s="491">
        <v>12</v>
      </c>
      <c r="K16" s="491">
        <v>0</v>
      </c>
      <c r="L16" s="491">
        <v>13</v>
      </c>
      <c r="M16" s="484"/>
      <c r="N16" s="485"/>
      <c r="O16" s="485"/>
      <c r="P16" s="485"/>
      <c r="Q16" s="486">
        <v>9</v>
      </c>
      <c r="R16" s="948">
        <f>C16-SUM(F16,G16,J16,K16)</f>
        <v>22</v>
      </c>
      <c r="S16" s="921">
        <f t="shared" si="2"/>
        <v>0.48</v>
      </c>
    </row>
    <row r="17" spans="1:19" ht="18.75" customHeight="1">
      <c r="A17" s="507" t="s">
        <v>55</v>
      </c>
      <c r="B17" s="524" t="s">
        <v>474</v>
      </c>
      <c r="C17" s="949">
        <f t="shared" si="4"/>
        <v>123</v>
      </c>
      <c r="D17" s="492">
        <v>104</v>
      </c>
      <c r="E17" s="493">
        <v>19</v>
      </c>
      <c r="F17" s="494"/>
      <c r="G17" s="494">
        <v>0</v>
      </c>
      <c r="H17" s="494">
        <f>C17-F17</f>
        <v>123</v>
      </c>
      <c r="I17" s="494">
        <f t="shared" si="3"/>
        <v>22</v>
      </c>
      <c r="J17" s="493">
        <v>20</v>
      </c>
      <c r="K17" s="493"/>
      <c r="L17" s="493">
        <v>2</v>
      </c>
      <c r="M17" s="494"/>
      <c r="N17" s="495"/>
      <c r="O17" s="495"/>
      <c r="P17" s="495"/>
      <c r="Q17" s="496">
        <v>101</v>
      </c>
      <c r="R17" s="950">
        <f>C17-SUM(F17,J17,K17)</f>
        <v>103</v>
      </c>
      <c r="S17" s="921">
        <f t="shared" si="2"/>
        <v>0.9090909090909091</v>
      </c>
    </row>
    <row r="18" spans="1:19" ht="18.75" customHeight="1">
      <c r="A18" s="507" t="s">
        <v>56</v>
      </c>
      <c r="B18" s="525" t="s">
        <v>426</v>
      </c>
      <c r="C18" s="947">
        <f t="shared" si="4"/>
        <v>3</v>
      </c>
      <c r="D18" s="490">
        <v>3</v>
      </c>
      <c r="E18" s="491">
        <v>0</v>
      </c>
      <c r="F18" s="484"/>
      <c r="G18" s="484">
        <v>0</v>
      </c>
      <c r="H18" s="484">
        <f aca="true" t="shared" si="5" ref="H18:H23">C18-F18+G18</f>
        <v>3</v>
      </c>
      <c r="I18" s="484">
        <f t="shared" si="3"/>
        <v>0</v>
      </c>
      <c r="J18" s="491">
        <v>0</v>
      </c>
      <c r="K18" s="491"/>
      <c r="L18" s="491">
        <v>0</v>
      </c>
      <c r="M18" s="484"/>
      <c r="N18" s="485"/>
      <c r="O18" s="485"/>
      <c r="P18" s="485"/>
      <c r="Q18" s="486">
        <v>3</v>
      </c>
      <c r="R18" s="948">
        <f aca="true" t="shared" si="6" ref="R18:R23">C18-SUM(F18,G18,J18,K18)</f>
        <v>3</v>
      </c>
      <c r="S18" s="921"/>
    </row>
    <row r="19" spans="1:19" ht="18.75" customHeight="1">
      <c r="A19" s="507" t="s">
        <v>57</v>
      </c>
      <c r="B19" s="525" t="s">
        <v>479</v>
      </c>
      <c r="C19" s="947">
        <f t="shared" si="4"/>
        <v>35</v>
      </c>
      <c r="D19" s="490">
        <v>17</v>
      </c>
      <c r="E19" s="491">
        <v>18</v>
      </c>
      <c r="F19" s="484"/>
      <c r="G19" s="484">
        <v>0</v>
      </c>
      <c r="H19" s="484">
        <f t="shared" si="5"/>
        <v>35</v>
      </c>
      <c r="I19" s="484">
        <f t="shared" si="3"/>
        <v>16</v>
      </c>
      <c r="J19" s="491">
        <v>14</v>
      </c>
      <c r="K19" s="491"/>
      <c r="L19" s="491">
        <v>2</v>
      </c>
      <c r="M19" s="484"/>
      <c r="N19" s="485"/>
      <c r="O19" s="485"/>
      <c r="P19" s="485"/>
      <c r="Q19" s="486">
        <v>19</v>
      </c>
      <c r="R19" s="948">
        <f t="shared" si="6"/>
        <v>21</v>
      </c>
      <c r="S19" s="921">
        <f t="shared" si="2"/>
        <v>0.875</v>
      </c>
    </row>
    <row r="20" spans="1:19" ht="18.75" customHeight="1">
      <c r="A20" s="507" t="s">
        <v>58</v>
      </c>
      <c r="B20" s="525" t="s">
        <v>475</v>
      </c>
      <c r="C20" s="947">
        <f t="shared" si="4"/>
        <v>4</v>
      </c>
      <c r="D20" s="490">
        <v>4</v>
      </c>
      <c r="E20" s="491">
        <v>0</v>
      </c>
      <c r="F20" s="484"/>
      <c r="G20" s="484">
        <v>0</v>
      </c>
      <c r="H20" s="484">
        <f t="shared" si="5"/>
        <v>4</v>
      </c>
      <c r="I20" s="484">
        <f t="shared" si="3"/>
        <v>0</v>
      </c>
      <c r="J20" s="491">
        <v>0</v>
      </c>
      <c r="K20" s="491">
        <v>0</v>
      </c>
      <c r="L20" s="491">
        <v>0</v>
      </c>
      <c r="M20" s="484">
        <v>0</v>
      </c>
      <c r="N20" s="485">
        <v>0</v>
      </c>
      <c r="O20" s="485">
        <v>0</v>
      </c>
      <c r="P20" s="485">
        <v>0</v>
      </c>
      <c r="Q20" s="486">
        <v>4</v>
      </c>
      <c r="R20" s="948">
        <f t="shared" si="6"/>
        <v>4</v>
      </c>
      <c r="S20" s="921" t="e">
        <f t="shared" si="2"/>
        <v>#DIV/0!</v>
      </c>
    </row>
    <row r="21" spans="1:19" ht="18.75" customHeight="1">
      <c r="A21" s="507" t="s">
        <v>59</v>
      </c>
      <c r="B21" s="526" t="s">
        <v>429</v>
      </c>
      <c r="C21" s="947">
        <f t="shared" si="4"/>
        <v>5</v>
      </c>
      <c r="D21" s="490">
        <v>5</v>
      </c>
      <c r="E21" s="491">
        <v>0</v>
      </c>
      <c r="F21" s="484"/>
      <c r="G21" s="484">
        <v>0</v>
      </c>
      <c r="H21" s="484">
        <f t="shared" si="5"/>
        <v>5</v>
      </c>
      <c r="I21" s="484">
        <f t="shared" si="3"/>
        <v>2</v>
      </c>
      <c r="J21" s="491">
        <v>0</v>
      </c>
      <c r="K21" s="491">
        <v>1</v>
      </c>
      <c r="L21" s="491">
        <v>1</v>
      </c>
      <c r="M21" s="484"/>
      <c r="N21" s="485"/>
      <c r="O21" s="485"/>
      <c r="P21" s="485"/>
      <c r="Q21" s="486">
        <v>3</v>
      </c>
      <c r="R21" s="486">
        <f t="shared" si="6"/>
        <v>4</v>
      </c>
      <c r="S21" s="921">
        <f t="shared" si="2"/>
        <v>0.5</v>
      </c>
    </row>
    <row r="22" spans="1:19" ht="18.75" customHeight="1">
      <c r="A22" s="507" t="s">
        <v>79</v>
      </c>
      <c r="B22" s="527" t="s">
        <v>430</v>
      </c>
      <c r="C22" s="947">
        <f t="shared" si="4"/>
        <v>1</v>
      </c>
      <c r="D22" s="490">
        <v>1</v>
      </c>
      <c r="E22" s="491">
        <v>0</v>
      </c>
      <c r="F22" s="484"/>
      <c r="G22" s="484"/>
      <c r="H22" s="484">
        <f t="shared" si="5"/>
        <v>1</v>
      </c>
      <c r="I22" s="484">
        <f t="shared" si="3"/>
        <v>0</v>
      </c>
      <c r="J22" s="491">
        <v>0</v>
      </c>
      <c r="K22" s="491">
        <v>0</v>
      </c>
      <c r="L22" s="491">
        <v>0</v>
      </c>
      <c r="M22" s="484">
        <v>0</v>
      </c>
      <c r="N22" s="485">
        <v>0</v>
      </c>
      <c r="O22" s="485">
        <v>0</v>
      </c>
      <c r="P22" s="485">
        <v>0</v>
      </c>
      <c r="Q22" s="486">
        <v>1</v>
      </c>
      <c r="R22" s="486">
        <f t="shared" si="6"/>
        <v>1</v>
      </c>
      <c r="S22" s="921" t="e">
        <f t="shared" si="2"/>
        <v>#DIV/0!</v>
      </c>
    </row>
    <row r="23" spans="1:19" ht="18.75" customHeight="1">
      <c r="A23" s="507" t="s">
        <v>80</v>
      </c>
      <c r="B23" s="528" t="s">
        <v>486</v>
      </c>
      <c r="C23" s="947">
        <f t="shared" si="4"/>
        <v>0</v>
      </c>
      <c r="D23" s="490"/>
      <c r="E23" s="491"/>
      <c r="F23" s="484"/>
      <c r="G23" s="484">
        <v>0</v>
      </c>
      <c r="H23" s="484">
        <f t="shared" si="5"/>
        <v>0</v>
      </c>
      <c r="I23" s="484">
        <f t="shared" si="3"/>
        <v>0</v>
      </c>
      <c r="J23" s="491">
        <v>0</v>
      </c>
      <c r="K23" s="491">
        <v>0</v>
      </c>
      <c r="L23" s="491">
        <v>0</v>
      </c>
      <c r="M23" s="484">
        <v>0</v>
      </c>
      <c r="N23" s="485">
        <v>0</v>
      </c>
      <c r="O23" s="485">
        <v>0</v>
      </c>
      <c r="P23" s="485">
        <v>0</v>
      </c>
      <c r="Q23" s="486"/>
      <c r="R23" s="486">
        <f t="shared" si="6"/>
        <v>0</v>
      </c>
      <c r="S23" s="921" t="e">
        <f t="shared" si="2"/>
        <v>#DIV/0!</v>
      </c>
    </row>
    <row r="24" spans="1:19" ht="17.25" customHeight="1">
      <c r="A24" s="520" t="s">
        <v>1</v>
      </c>
      <c r="B24" s="529" t="s">
        <v>17</v>
      </c>
      <c r="C24" s="530"/>
      <c r="D24" s="530"/>
      <c r="E24" s="530"/>
      <c r="F24" s="530"/>
      <c r="G24" s="530"/>
      <c r="H24" s="530"/>
      <c r="I24" s="530"/>
      <c r="J24" s="530"/>
      <c r="K24" s="530"/>
      <c r="L24" s="530"/>
      <c r="M24" s="530"/>
      <c r="N24" s="530"/>
      <c r="O24" s="530"/>
      <c r="P24" s="530"/>
      <c r="Q24" s="530"/>
      <c r="R24" s="531"/>
      <c r="S24" s="921"/>
    </row>
    <row r="25" spans="1:19" ht="18.75" customHeight="1" hidden="1">
      <c r="A25" s="520" t="s">
        <v>43</v>
      </c>
      <c r="B25" s="532" t="s">
        <v>431</v>
      </c>
      <c r="C25" s="518">
        <f>D25+E25</f>
        <v>1062</v>
      </c>
      <c r="D25" s="518">
        <f>SUM(D27:D34)</f>
        <v>353</v>
      </c>
      <c r="E25" s="518">
        <f>SUM(E27:E34)</f>
        <v>709</v>
      </c>
      <c r="F25" s="518">
        <f>SUM(F27:F34)</f>
        <v>12</v>
      </c>
      <c r="G25" s="518">
        <f>SUM(G27:G34)</f>
        <v>0</v>
      </c>
      <c r="H25" s="518">
        <f>I25+Q25</f>
        <v>1050</v>
      </c>
      <c r="I25" s="518">
        <f>SUM(J25:P25)</f>
        <v>773</v>
      </c>
      <c r="J25" s="518">
        <f aca="true" t="shared" si="7" ref="J25:R25">SUM(J27:J34)</f>
        <v>605</v>
      </c>
      <c r="K25" s="518">
        <f t="shared" si="7"/>
        <v>14</v>
      </c>
      <c r="L25" s="518">
        <f t="shared" si="7"/>
        <v>120</v>
      </c>
      <c r="M25" s="518">
        <f t="shared" si="7"/>
        <v>32</v>
      </c>
      <c r="N25" s="518">
        <f t="shared" si="7"/>
        <v>0</v>
      </c>
      <c r="O25" s="518">
        <f t="shared" si="7"/>
        <v>0</v>
      </c>
      <c r="P25" s="518">
        <f t="shared" si="7"/>
        <v>2</v>
      </c>
      <c r="Q25" s="518">
        <f t="shared" si="7"/>
        <v>277</v>
      </c>
      <c r="R25" s="518">
        <f t="shared" si="7"/>
        <v>431</v>
      </c>
      <c r="S25" s="519">
        <f t="shared" si="2"/>
        <v>0.8007761966364813</v>
      </c>
    </row>
    <row r="26" spans="1:19" ht="27.75" customHeight="1">
      <c r="A26" s="520" t="s">
        <v>43</v>
      </c>
      <c r="B26" s="915" t="s">
        <v>431</v>
      </c>
      <c r="C26" s="518">
        <f>D26+E26</f>
        <v>1062</v>
      </c>
      <c r="D26" s="518">
        <f>SUM(D27:D34)</f>
        <v>353</v>
      </c>
      <c r="E26" s="518">
        <f>SUM(E27:E34)</f>
        <v>709</v>
      </c>
      <c r="F26" s="518">
        <f>SUM(F27:F34)</f>
        <v>12</v>
      </c>
      <c r="G26" s="518">
        <f>SUM(G27:G34)</f>
        <v>0</v>
      </c>
      <c r="H26" s="518">
        <f>I26+Q26</f>
        <v>1050</v>
      </c>
      <c r="I26" s="518">
        <f>SUM(J26:P26)</f>
        <v>773</v>
      </c>
      <c r="J26" s="518">
        <f aca="true" t="shared" si="8" ref="J26:R26">SUM(J27:J34)</f>
        <v>605</v>
      </c>
      <c r="K26" s="518">
        <f t="shared" si="8"/>
        <v>14</v>
      </c>
      <c r="L26" s="518">
        <f t="shared" si="8"/>
        <v>120</v>
      </c>
      <c r="M26" s="518">
        <f t="shared" si="8"/>
        <v>32</v>
      </c>
      <c r="N26" s="518">
        <f t="shared" si="8"/>
        <v>0</v>
      </c>
      <c r="O26" s="518">
        <f t="shared" si="8"/>
        <v>0</v>
      </c>
      <c r="P26" s="518">
        <f t="shared" si="8"/>
        <v>2</v>
      </c>
      <c r="Q26" s="518">
        <f t="shared" si="8"/>
        <v>277</v>
      </c>
      <c r="R26" s="518">
        <f t="shared" si="8"/>
        <v>431</v>
      </c>
      <c r="S26" s="519">
        <f t="shared" si="2"/>
        <v>0.8007761966364813</v>
      </c>
    </row>
    <row r="27" spans="1:19" ht="18.75" customHeight="1">
      <c r="A27" s="507" t="s">
        <v>43</v>
      </c>
      <c r="B27" s="533" t="s">
        <v>432</v>
      </c>
      <c r="C27" s="522">
        <f>D27+E27</f>
        <v>21</v>
      </c>
      <c r="D27" s="473">
        <v>0</v>
      </c>
      <c r="E27" s="473">
        <v>21</v>
      </c>
      <c r="F27" s="473">
        <v>0</v>
      </c>
      <c r="G27" s="473">
        <v>0</v>
      </c>
      <c r="H27" s="522">
        <f>I27+Q27</f>
        <v>21</v>
      </c>
      <c r="I27" s="522">
        <f aca="true" t="shared" si="9" ref="I27:I34">SUM(J27:P27)</f>
        <v>21</v>
      </c>
      <c r="J27" s="473">
        <v>21</v>
      </c>
      <c r="K27" s="473">
        <v>0</v>
      </c>
      <c r="L27" s="473">
        <v>0</v>
      </c>
      <c r="M27" s="473">
        <v>0</v>
      </c>
      <c r="N27" s="473">
        <v>0</v>
      </c>
      <c r="O27" s="473">
        <v>0</v>
      </c>
      <c r="P27" s="473">
        <v>0</v>
      </c>
      <c r="Q27" s="473">
        <v>0</v>
      </c>
      <c r="R27" s="522">
        <f aca="true" t="shared" si="10" ref="R27:R33">(C27-F27-J27-K27)+G27</f>
        <v>0</v>
      </c>
      <c r="S27" s="921">
        <f t="shared" si="2"/>
        <v>1</v>
      </c>
    </row>
    <row r="28" spans="1:19" ht="27.75" customHeight="1">
      <c r="A28" s="507" t="s">
        <v>44</v>
      </c>
      <c r="B28" s="534" t="s">
        <v>433</v>
      </c>
      <c r="C28" s="522">
        <f aca="true" t="shared" si="11" ref="C28:C34">D28+E28</f>
        <v>128</v>
      </c>
      <c r="D28" s="473">
        <v>37</v>
      </c>
      <c r="E28" s="473">
        <v>91</v>
      </c>
      <c r="F28" s="473">
        <v>1</v>
      </c>
      <c r="G28" s="473">
        <v>0</v>
      </c>
      <c r="H28" s="522">
        <f aca="true" t="shared" si="12" ref="H28:H34">I28+Q28</f>
        <v>127</v>
      </c>
      <c r="I28" s="522">
        <f t="shared" si="9"/>
        <v>92</v>
      </c>
      <c r="J28" s="473">
        <v>79</v>
      </c>
      <c r="K28" s="473">
        <v>4</v>
      </c>
      <c r="L28" s="473">
        <v>7</v>
      </c>
      <c r="M28" s="473">
        <v>2</v>
      </c>
      <c r="N28" s="473">
        <v>0</v>
      </c>
      <c r="O28" s="473"/>
      <c r="P28" s="473">
        <v>0</v>
      </c>
      <c r="Q28" s="473">
        <v>35</v>
      </c>
      <c r="R28" s="522">
        <f t="shared" si="10"/>
        <v>44</v>
      </c>
      <c r="S28" s="921">
        <f t="shared" si="2"/>
        <v>0.9021739130434783</v>
      </c>
    </row>
    <row r="29" spans="1:19" ht="18.75" customHeight="1">
      <c r="A29" s="507" t="s">
        <v>45</v>
      </c>
      <c r="B29" s="533" t="s">
        <v>434</v>
      </c>
      <c r="C29" s="522">
        <f t="shared" si="11"/>
        <v>96</v>
      </c>
      <c r="D29" s="473">
        <v>33</v>
      </c>
      <c r="E29" s="473">
        <v>63</v>
      </c>
      <c r="F29" s="473">
        <v>0</v>
      </c>
      <c r="G29" s="473">
        <v>0</v>
      </c>
      <c r="H29" s="522">
        <f t="shared" si="12"/>
        <v>96</v>
      </c>
      <c r="I29" s="522">
        <f t="shared" si="9"/>
        <v>71</v>
      </c>
      <c r="J29" s="473">
        <v>51</v>
      </c>
      <c r="K29" s="473">
        <v>1</v>
      </c>
      <c r="L29" s="473">
        <v>17</v>
      </c>
      <c r="M29" s="473">
        <v>0</v>
      </c>
      <c r="N29" s="473"/>
      <c r="O29" s="473"/>
      <c r="P29" s="473">
        <v>2</v>
      </c>
      <c r="Q29" s="473">
        <v>25</v>
      </c>
      <c r="R29" s="522">
        <f>(C29-F29-J29-K29)+G29</f>
        <v>44</v>
      </c>
      <c r="S29" s="921">
        <f t="shared" si="2"/>
        <v>0.7323943661971831</v>
      </c>
    </row>
    <row r="30" spans="1:19" ht="18.75" customHeight="1">
      <c r="A30" s="507" t="s">
        <v>54</v>
      </c>
      <c r="B30" s="534" t="s">
        <v>487</v>
      </c>
      <c r="C30" s="522">
        <f t="shared" si="11"/>
        <v>210</v>
      </c>
      <c r="D30" s="473">
        <v>92</v>
      </c>
      <c r="E30" s="473">
        <v>118</v>
      </c>
      <c r="F30" s="473">
        <v>3</v>
      </c>
      <c r="G30" s="473">
        <v>0</v>
      </c>
      <c r="H30" s="522">
        <f t="shared" si="12"/>
        <v>207</v>
      </c>
      <c r="I30" s="522">
        <f t="shared" si="9"/>
        <v>144</v>
      </c>
      <c r="J30" s="473">
        <v>104</v>
      </c>
      <c r="K30" s="473">
        <v>0</v>
      </c>
      <c r="L30" s="473">
        <v>26</v>
      </c>
      <c r="M30" s="473">
        <v>14</v>
      </c>
      <c r="N30" s="473"/>
      <c r="O30" s="473"/>
      <c r="P30" s="473">
        <v>0</v>
      </c>
      <c r="Q30" s="473">
        <v>63</v>
      </c>
      <c r="R30" s="522">
        <f t="shared" si="10"/>
        <v>103</v>
      </c>
      <c r="S30" s="921">
        <f t="shared" si="2"/>
        <v>0.7222222222222222</v>
      </c>
    </row>
    <row r="31" spans="1:19" ht="18.75" customHeight="1">
      <c r="A31" s="507" t="s">
        <v>55</v>
      </c>
      <c r="B31" s="534" t="s">
        <v>471</v>
      </c>
      <c r="C31" s="522">
        <f t="shared" si="11"/>
        <v>193</v>
      </c>
      <c r="D31" s="473">
        <v>78</v>
      </c>
      <c r="E31" s="473">
        <v>115</v>
      </c>
      <c r="F31" s="473">
        <v>3</v>
      </c>
      <c r="G31" s="473">
        <v>0</v>
      </c>
      <c r="H31" s="522">
        <f t="shared" si="12"/>
        <v>190</v>
      </c>
      <c r="I31" s="522">
        <f t="shared" si="9"/>
        <v>137</v>
      </c>
      <c r="J31" s="473">
        <v>95</v>
      </c>
      <c r="K31" s="473">
        <v>0</v>
      </c>
      <c r="L31" s="473">
        <v>30</v>
      </c>
      <c r="M31" s="473">
        <v>12</v>
      </c>
      <c r="N31" s="473"/>
      <c r="O31" s="473"/>
      <c r="P31" s="473">
        <v>0</v>
      </c>
      <c r="Q31" s="473">
        <v>53</v>
      </c>
      <c r="R31" s="522">
        <f t="shared" si="10"/>
        <v>95</v>
      </c>
      <c r="S31" s="921">
        <f t="shared" si="2"/>
        <v>0.6934306569343066</v>
      </c>
    </row>
    <row r="32" spans="1:19" ht="18.75" customHeight="1">
      <c r="A32" s="507" t="s">
        <v>56</v>
      </c>
      <c r="B32" s="533" t="s">
        <v>480</v>
      </c>
      <c r="C32" s="522">
        <f t="shared" si="11"/>
        <v>146</v>
      </c>
      <c r="D32" s="473">
        <v>37</v>
      </c>
      <c r="E32" s="473">
        <v>109</v>
      </c>
      <c r="F32" s="473">
        <v>3</v>
      </c>
      <c r="G32" s="473">
        <v>0</v>
      </c>
      <c r="H32" s="522">
        <f t="shared" si="12"/>
        <v>143</v>
      </c>
      <c r="I32" s="522">
        <f t="shared" si="9"/>
        <v>110</v>
      </c>
      <c r="J32" s="473">
        <v>88</v>
      </c>
      <c r="K32" s="473">
        <v>4</v>
      </c>
      <c r="L32" s="473">
        <v>17</v>
      </c>
      <c r="M32" s="473">
        <v>1</v>
      </c>
      <c r="N32" s="473">
        <v>0</v>
      </c>
      <c r="O32" s="473">
        <v>0</v>
      </c>
      <c r="P32" s="473"/>
      <c r="Q32" s="473">
        <v>33</v>
      </c>
      <c r="R32" s="522">
        <f t="shared" si="10"/>
        <v>51</v>
      </c>
      <c r="S32" s="921">
        <f t="shared" si="2"/>
        <v>0.8363636363636363</v>
      </c>
    </row>
    <row r="33" spans="1:19" ht="18.75" customHeight="1">
      <c r="A33" s="507" t="s">
        <v>57</v>
      </c>
      <c r="B33" s="533" t="s">
        <v>436</v>
      </c>
      <c r="C33" s="522">
        <f t="shared" si="11"/>
        <v>217</v>
      </c>
      <c r="D33" s="473">
        <v>60</v>
      </c>
      <c r="E33" s="473">
        <v>157</v>
      </c>
      <c r="F33" s="473">
        <v>2</v>
      </c>
      <c r="G33" s="473">
        <v>0</v>
      </c>
      <c r="H33" s="522">
        <f t="shared" si="12"/>
        <v>215</v>
      </c>
      <c r="I33" s="522">
        <f t="shared" si="9"/>
        <v>166</v>
      </c>
      <c r="J33" s="473">
        <v>142</v>
      </c>
      <c r="K33" s="473">
        <v>5</v>
      </c>
      <c r="L33" s="473">
        <v>17</v>
      </c>
      <c r="M33" s="473">
        <v>2</v>
      </c>
      <c r="N33" s="473">
        <v>0</v>
      </c>
      <c r="O33" s="473">
        <v>0</v>
      </c>
      <c r="P33" s="473"/>
      <c r="Q33" s="473">
        <v>49</v>
      </c>
      <c r="R33" s="522">
        <f t="shared" si="10"/>
        <v>68</v>
      </c>
      <c r="S33" s="921">
        <f t="shared" si="2"/>
        <v>0.8855421686746988</v>
      </c>
    </row>
    <row r="34" spans="1:19" ht="18.75" customHeight="1" thickBot="1">
      <c r="A34" s="507" t="s">
        <v>58</v>
      </c>
      <c r="B34" s="533" t="s">
        <v>477</v>
      </c>
      <c r="C34" s="522">
        <f t="shared" si="11"/>
        <v>51</v>
      </c>
      <c r="D34" s="498">
        <v>16</v>
      </c>
      <c r="E34" s="498">
        <v>35</v>
      </c>
      <c r="F34" s="498">
        <v>0</v>
      </c>
      <c r="G34" s="473">
        <v>0</v>
      </c>
      <c r="H34" s="522">
        <f t="shared" si="12"/>
        <v>51</v>
      </c>
      <c r="I34" s="522">
        <f t="shared" si="9"/>
        <v>32</v>
      </c>
      <c r="J34" s="498">
        <v>25</v>
      </c>
      <c r="K34" s="498">
        <v>0</v>
      </c>
      <c r="L34" s="498">
        <v>6</v>
      </c>
      <c r="M34" s="498">
        <v>1</v>
      </c>
      <c r="N34" s="498">
        <v>0</v>
      </c>
      <c r="O34" s="498">
        <v>0</v>
      </c>
      <c r="P34" s="498">
        <v>0</v>
      </c>
      <c r="Q34" s="498">
        <v>19</v>
      </c>
      <c r="R34" s="522">
        <f>(C34-F34-J34-K34)+G34</f>
        <v>26</v>
      </c>
      <c r="S34" s="921">
        <f t="shared" si="2"/>
        <v>0.78125</v>
      </c>
    </row>
    <row r="35" spans="1:19" ht="18.75" customHeight="1" thickTop="1">
      <c r="A35" s="520" t="s">
        <v>44</v>
      </c>
      <c r="B35" s="913" t="s">
        <v>437</v>
      </c>
      <c r="C35" s="535">
        <f>D35+E35</f>
        <v>768</v>
      </c>
      <c r="D35" s="535">
        <f>SUM(D36:D41)</f>
        <v>230</v>
      </c>
      <c r="E35" s="535">
        <f>SUM(E36:E41)</f>
        <v>538</v>
      </c>
      <c r="F35" s="535">
        <f>SUM(F36:F41)</f>
        <v>6</v>
      </c>
      <c r="G35" s="535">
        <f aca="true" t="shared" si="13" ref="G35:Q35">SUM(G36:G41)</f>
        <v>0</v>
      </c>
      <c r="H35" s="535">
        <f t="shared" si="13"/>
        <v>762</v>
      </c>
      <c r="I35" s="535">
        <f t="shared" si="13"/>
        <v>582</v>
      </c>
      <c r="J35" s="535">
        <f t="shared" si="13"/>
        <v>499</v>
      </c>
      <c r="K35" s="535">
        <f t="shared" si="13"/>
        <v>17</v>
      </c>
      <c r="L35" s="535">
        <f t="shared" si="13"/>
        <v>64</v>
      </c>
      <c r="M35" s="535">
        <f t="shared" si="13"/>
        <v>0</v>
      </c>
      <c r="N35" s="535">
        <f t="shared" si="13"/>
        <v>0</v>
      </c>
      <c r="O35" s="535">
        <f t="shared" si="13"/>
        <v>0</v>
      </c>
      <c r="P35" s="535">
        <f t="shared" si="13"/>
        <v>2</v>
      </c>
      <c r="Q35" s="535">
        <f t="shared" si="13"/>
        <v>180</v>
      </c>
      <c r="R35" s="535">
        <f>SUM(R36:R41)</f>
        <v>246</v>
      </c>
      <c r="S35" s="536">
        <f t="shared" si="2"/>
        <v>0.8865979381443299</v>
      </c>
    </row>
    <row r="36" spans="1:19" ht="18.75" customHeight="1">
      <c r="A36" s="468" t="s">
        <v>43</v>
      </c>
      <c r="B36" s="537" t="s">
        <v>438</v>
      </c>
      <c r="C36" s="951">
        <f aca="true" t="shared" si="14" ref="C36:C41">SUM(D36,E36)</f>
        <v>85</v>
      </c>
      <c r="D36" s="484">
        <v>20</v>
      </c>
      <c r="E36" s="484">
        <v>65</v>
      </c>
      <c r="F36" s="484">
        <v>0</v>
      </c>
      <c r="G36" s="538">
        <v>0</v>
      </c>
      <c r="H36" s="538">
        <f aca="true" t="shared" si="15" ref="H36:H41">I36+Q36</f>
        <v>85</v>
      </c>
      <c r="I36" s="538">
        <f aca="true" t="shared" si="16" ref="I36:I41">SUM(J36:P36)</f>
        <v>68</v>
      </c>
      <c r="J36" s="484">
        <v>63</v>
      </c>
      <c r="K36" s="484">
        <v>0</v>
      </c>
      <c r="L36" s="484">
        <v>5</v>
      </c>
      <c r="M36" s="484">
        <v>0</v>
      </c>
      <c r="N36" s="485">
        <v>0</v>
      </c>
      <c r="O36" s="485">
        <v>0</v>
      </c>
      <c r="P36" s="485">
        <v>0</v>
      </c>
      <c r="Q36" s="486">
        <v>17</v>
      </c>
      <c r="R36" s="952">
        <f aca="true" t="shared" si="17" ref="R36:R41">C36-SUM(F36,G36,J36,K36)</f>
        <v>22</v>
      </c>
      <c r="S36" s="953">
        <f aca="true" t="shared" si="18" ref="S36:S41">(J36+K36)/I36*100%</f>
        <v>0.9264705882352942</v>
      </c>
    </row>
    <row r="37" spans="1:19" ht="18.75" customHeight="1">
      <c r="A37" s="468" t="s">
        <v>44</v>
      </c>
      <c r="B37" s="537" t="s">
        <v>439</v>
      </c>
      <c r="C37" s="951">
        <f t="shared" si="14"/>
        <v>146</v>
      </c>
      <c r="D37" s="484">
        <v>58</v>
      </c>
      <c r="E37" s="484">
        <v>88</v>
      </c>
      <c r="F37" s="484">
        <v>3</v>
      </c>
      <c r="G37" s="538">
        <v>0</v>
      </c>
      <c r="H37" s="538">
        <f t="shared" si="15"/>
        <v>143</v>
      </c>
      <c r="I37" s="538">
        <f t="shared" si="16"/>
        <v>94</v>
      </c>
      <c r="J37" s="484">
        <v>79</v>
      </c>
      <c r="K37" s="484">
        <v>2</v>
      </c>
      <c r="L37" s="484">
        <v>13</v>
      </c>
      <c r="M37" s="484">
        <v>0</v>
      </c>
      <c r="N37" s="485">
        <v>0</v>
      </c>
      <c r="O37" s="485">
        <v>0</v>
      </c>
      <c r="P37" s="485">
        <v>0</v>
      </c>
      <c r="Q37" s="486">
        <v>49</v>
      </c>
      <c r="R37" s="952">
        <f t="shared" si="17"/>
        <v>62</v>
      </c>
      <c r="S37" s="953">
        <f t="shared" si="18"/>
        <v>0.8617021276595744</v>
      </c>
    </row>
    <row r="38" spans="1:19" ht="18.75" customHeight="1">
      <c r="A38" s="468" t="s">
        <v>45</v>
      </c>
      <c r="B38" s="537" t="s">
        <v>472</v>
      </c>
      <c r="C38" s="951">
        <f t="shared" si="14"/>
        <v>113</v>
      </c>
      <c r="D38" s="484">
        <v>29</v>
      </c>
      <c r="E38" s="484">
        <v>84</v>
      </c>
      <c r="F38" s="484">
        <v>1</v>
      </c>
      <c r="G38" s="538">
        <v>0</v>
      </c>
      <c r="H38" s="538">
        <f t="shared" si="15"/>
        <v>112</v>
      </c>
      <c r="I38" s="538">
        <f t="shared" si="16"/>
        <v>89</v>
      </c>
      <c r="J38" s="484">
        <v>72</v>
      </c>
      <c r="K38" s="484">
        <v>5</v>
      </c>
      <c r="L38" s="484">
        <v>12</v>
      </c>
      <c r="M38" s="484">
        <v>0</v>
      </c>
      <c r="N38" s="485">
        <v>0</v>
      </c>
      <c r="O38" s="485">
        <v>0</v>
      </c>
      <c r="P38" s="485">
        <v>0</v>
      </c>
      <c r="Q38" s="486">
        <v>23</v>
      </c>
      <c r="R38" s="952">
        <f t="shared" si="17"/>
        <v>35</v>
      </c>
      <c r="S38" s="953">
        <f t="shared" si="18"/>
        <v>0.8651685393258427</v>
      </c>
    </row>
    <row r="39" spans="1:19" ht="18.75" customHeight="1">
      <c r="A39" s="468" t="s">
        <v>54</v>
      </c>
      <c r="B39" s="537" t="s">
        <v>440</v>
      </c>
      <c r="C39" s="951">
        <f t="shared" si="14"/>
        <v>130</v>
      </c>
      <c r="D39" s="484">
        <v>34</v>
      </c>
      <c r="E39" s="484">
        <v>96</v>
      </c>
      <c r="F39" s="484">
        <v>1</v>
      </c>
      <c r="G39" s="538">
        <v>0</v>
      </c>
      <c r="H39" s="538">
        <f t="shared" si="15"/>
        <v>129</v>
      </c>
      <c r="I39" s="538">
        <f t="shared" si="16"/>
        <v>101</v>
      </c>
      <c r="J39" s="484">
        <v>87</v>
      </c>
      <c r="K39" s="484">
        <v>2</v>
      </c>
      <c r="L39" s="484">
        <v>11</v>
      </c>
      <c r="M39" s="484">
        <v>0</v>
      </c>
      <c r="N39" s="485">
        <v>0</v>
      </c>
      <c r="O39" s="485">
        <v>0</v>
      </c>
      <c r="P39" s="485">
        <v>1</v>
      </c>
      <c r="Q39" s="486">
        <v>28</v>
      </c>
      <c r="R39" s="952">
        <f t="shared" si="17"/>
        <v>40</v>
      </c>
      <c r="S39" s="953">
        <f t="shared" si="18"/>
        <v>0.8811881188118812</v>
      </c>
    </row>
    <row r="40" spans="1:19" ht="18.75" customHeight="1">
      <c r="A40" s="468" t="s">
        <v>55</v>
      </c>
      <c r="B40" s="537" t="s">
        <v>463</v>
      </c>
      <c r="C40" s="951">
        <f t="shared" si="14"/>
        <v>151</v>
      </c>
      <c r="D40" s="484">
        <v>42</v>
      </c>
      <c r="E40" s="484">
        <v>109</v>
      </c>
      <c r="F40" s="484">
        <v>1</v>
      </c>
      <c r="G40" s="538">
        <v>0</v>
      </c>
      <c r="H40" s="538">
        <f t="shared" si="15"/>
        <v>150</v>
      </c>
      <c r="I40" s="538">
        <f t="shared" si="16"/>
        <v>112</v>
      </c>
      <c r="J40" s="484">
        <v>99</v>
      </c>
      <c r="K40" s="484">
        <v>1</v>
      </c>
      <c r="L40" s="484">
        <v>12</v>
      </c>
      <c r="M40" s="484">
        <v>0</v>
      </c>
      <c r="N40" s="485">
        <v>0</v>
      </c>
      <c r="O40" s="485">
        <v>0</v>
      </c>
      <c r="P40" s="485">
        <v>0</v>
      </c>
      <c r="Q40" s="486">
        <v>38</v>
      </c>
      <c r="R40" s="952">
        <f t="shared" si="17"/>
        <v>50</v>
      </c>
      <c r="S40" s="953">
        <f t="shared" si="18"/>
        <v>0.8928571428571429</v>
      </c>
    </row>
    <row r="41" spans="1:19" ht="18.75" customHeight="1">
      <c r="A41" s="468" t="s">
        <v>56</v>
      </c>
      <c r="B41" s="539" t="s">
        <v>441</v>
      </c>
      <c r="C41" s="951">
        <f t="shared" si="14"/>
        <v>143</v>
      </c>
      <c r="D41" s="503">
        <v>47</v>
      </c>
      <c r="E41" s="503">
        <v>96</v>
      </c>
      <c r="F41" s="503">
        <v>0</v>
      </c>
      <c r="G41" s="540">
        <v>0</v>
      </c>
      <c r="H41" s="538">
        <f t="shared" si="15"/>
        <v>143</v>
      </c>
      <c r="I41" s="538">
        <f t="shared" si="16"/>
        <v>118</v>
      </c>
      <c r="J41" s="503">
        <v>99</v>
      </c>
      <c r="K41" s="503">
        <v>7</v>
      </c>
      <c r="L41" s="503">
        <v>11</v>
      </c>
      <c r="M41" s="503">
        <v>0</v>
      </c>
      <c r="N41" s="504">
        <v>0</v>
      </c>
      <c r="O41" s="504">
        <v>0</v>
      </c>
      <c r="P41" s="504">
        <v>1</v>
      </c>
      <c r="Q41" s="486">
        <v>25</v>
      </c>
      <c r="R41" s="952">
        <f t="shared" si="17"/>
        <v>37</v>
      </c>
      <c r="S41" s="953">
        <f t="shared" si="18"/>
        <v>0.8983050847457628</v>
      </c>
    </row>
    <row r="42" spans="1:19" ht="18.75" customHeight="1">
      <c r="A42" s="520" t="s">
        <v>45</v>
      </c>
      <c r="B42" s="913" t="s">
        <v>460</v>
      </c>
      <c r="C42" s="518">
        <f aca="true" t="shared" si="19" ref="C42:C55">D42+E42</f>
        <v>1127</v>
      </c>
      <c r="D42" s="518">
        <f aca="true" t="shared" si="20" ref="D42:R42">SUM(D43:D49)</f>
        <v>429</v>
      </c>
      <c r="E42" s="518">
        <f t="shared" si="20"/>
        <v>698</v>
      </c>
      <c r="F42" s="518">
        <f t="shared" si="20"/>
        <v>3</v>
      </c>
      <c r="G42" s="518">
        <f t="shared" si="20"/>
        <v>0</v>
      </c>
      <c r="H42" s="518">
        <f t="shared" si="20"/>
        <v>1124</v>
      </c>
      <c r="I42" s="518">
        <f t="shared" si="20"/>
        <v>817</v>
      </c>
      <c r="J42" s="518">
        <f t="shared" si="20"/>
        <v>662</v>
      </c>
      <c r="K42" s="518">
        <f t="shared" si="20"/>
        <v>15</v>
      </c>
      <c r="L42" s="518">
        <f t="shared" si="20"/>
        <v>105</v>
      </c>
      <c r="M42" s="518">
        <f t="shared" si="20"/>
        <v>0</v>
      </c>
      <c r="N42" s="518">
        <f t="shared" si="20"/>
        <v>0</v>
      </c>
      <c r="O42" s="518">
        <f t="shared" si="20"/>
        <v>0</v>
      </c>
      <c r="P42" s="518">
        <f t="shared" si="20"/>
        <v>35</v>
      </c>
      <c r="Q42" s="518">
        <f t="shared" si="20"/>
        <v>307</v>
      </c>
      <c r="R42" s="518">
        <f t="shared" si="20"/>
        <v>447</v>
      </c>
      <c r="S42" s="519">
        <f t="shared" si="2"/>
        <v>0.828641370869033</v>
      </c>
    </row>
    <row r="43" spans="1:19" ht="18.75" customHeight="1">
      <c r="A43" s="507" t="s">
        <v>43</v>
      </c>
      <c r="B43" s="541" t="s">
        <v>442</v>
      </c>
      <c r="C43" s="522">
        <f t="shared" si="19"/>
        <v>33</v>
      </c>
      <c r="D43" s="473">
        <v>13</v>
      </c>
      <c r="E43" s="473">
        <v>20</v>
      </c>
      <c r="F43" s="473">
        <v>0</v>
      </c>
      <c r="G43" s="473">
        <v>0</v>
      </c>
      <c r="H43" s="522">
        <f aca="true" t="shared" si="21" ref="H43:H49">I43+Q43</f>
        <v>33</v>
      </c>
      <c r="I43" s="522">
        <f>SUM(J43:P43)</f>
        <v>24</v>
      </c>
      <c r="J43" s="473">
        <v>21</v>
      </c>
      <c r="K43" s="473">
        <v>0</v>
      </c>
      <c r="L43" s="473">
        <v>2</v>
      </c>
      <c r="M43" s="473">
        <v>0</v>
      </c>
      <c r="N43" s="473">
        <v>0</v>
      </c>
      <c r="O43" s="473">
        <v>0</v>
      </c>
      <c r="P43" s="473">
        <v>1</v>
      </c>
      <c r="Q43" s="473">
        <v>9</v>
      </c>
      <c r="R43" s="522">
        <f aca="true" t="shared" si="22" ref="R43:R49">(C43-F43-J43-K43)+G43</f>
        <v>12</v>
      </c>
      <c r="S43" s="921">
        <f t="shared" si="2"/>
        <v>0.875</v>
      </c>
    </row>
    <row r="44" spans="1:19" ht="21" customHeight="1">
      <c r="A44" s="507" t="s">
        <v>44</v>
      </c>
      <c r="B44" s="541" t="s">
        <v>443</v>
      </c>
      <c r="C44" s="522">
        <f t="shared" si="19"/>
        <v>153</v>
      </c>
      <c r="D44" s="473">
        <v>69</v>
      </c>
      <c r="E44" s="473">
        <v>84</v>
      </c>
      <c r="F44" s="473">
        <v>0</v>
      </c>
      <c r="G44" s="473">
        <v>0</v>
      </c>
      <c r="H44" s="522">
        <f t="shared" si="21"/>
        <v>153</v>
      </c>
      <c r="I44" s="522">
        <f aca="true" t="shared" si="23" ref="I44:I49">J44+K44+L44+M44+N44+O44+P44</f>
        <v>99</v>
      </c>
      <c r="J44" s="473">
        <v>76</v>
      </c>
      <c r="K44" s="473">
        <v>5</v>
      </c>
      <c r="L44" s="473">
        <v>14</v>
      </c>
      <c r="M44" s="473">
        <v>0</v>
      </c>
      <c r="N44" s="473">
        <v>0</v>
      </c>
      <c r="O44" s="473">
        <v>0</v>
      </c>
      <c r="P44" s="473">
        <v>4</v>
      </c>
      <c r="Q44" s="473">
        <v>54</v>
      </c>
      <c r="R44" s="522">
        <f t="shared" si="22"/>
        <v>72</v>
      </c>
      <c r="S44" s="921">
        <f t="shared" si="2"/>
        <v>0.8181818181818182</v>
      </c>
    </row>
    <row r="45" spans="1:19" ht="18.75" customHeight="1">
      <c r="A45" s="507" t="s">
        <v>45</v>
      </c>
      <c r="B45" s="541" t="s">
        <v>444</v>
      </c>
      <c r="C45" s="522">
        <f t="shared" si="19"/>
        <v>230</v>
      </c>
      <c r="D45" s="473">
        <v>50</v>
      </c>
      <c r="E45" s="473">
        <v>180</v>
      </c>
      <c r="F45" s="473">
        <v>1</v>
      </c>
      <c r="G45" s="473">
        <v>0</v>
      </c>
      <c r="H45" s="522">
        <f t="shared" si="21"/>
        <v>229</v>
      </c>
      <c r="I45" s="522">
        <f t="shared" si="23"/>
        <v>186</v>
      </c>
      <c r="J45" s="473">
        <v>174</v>
      </c>
      <c r="K45" s="473">
        <v>1</v>
      </c>
      <c r="L45" s="473">
        <v>5</v>
      </c>
      <c r="M45" s="473">
        <v>0</v>
      </c>
      <c r="N45" s="473">
        <v>0</v>
      </c>
      <c r="O45" s="473">
        <v>0</v>
      </c>
      <c r="P45" s="473">
        <v>6</v>
      </c>
      <c r="Q45" s="473">
        <v>43</v>
      </c>
      <c r="R45" s="522">
        <f t="shared" si="22"/>
        <v>54</v>
      </c>
      <c r="S45" s="921">
        <f t="shared" si="2"/>
        <v>0.9408602150537635</v>
      </c>
    </row>
    <row r="46" spans="1:19" ht="18.75" customHeight="1">
      <c r="A46" s="507" t="s">
        <v>54</v>
      </c>
      <c r="B46" s="541" t="s">
        <v>445</v>
      </c>
      <c r="C46" s="522">
        <f t="shared" si="19"/>
        <v>147</v>
      </c>
      <c r="D46" s="473">
        <v>72</v>
      </c>
      <c r="E46" s="473">
        <v>75</v>
      </c>
      <c r="F46" s="473">
        <v>0</v>
      </c>
      <c r="G46" s="473">
        <v>0</v>
      </c>
      <c r="H46" s="522">
        <f t="shared" si="21"/>
        <v>147</v>
      </c>
      <c r="I46" s="522">
        <f t="shared" si="23"/>
        <v>103</v>
      </c>
      <c r="J46" s="473">
        <v>85</v>
      </c>
      <c r="K46" s="473">
        <v>0</v>
      </c>
      <c r="L46" s="473">
        <v>17</v>
      </c>
      <c r="M46" s="473">
        <v>0</v>
      </c>
      <c r="N46" s="473">
        <v>0</v>
      </c>
      <c r="O46" s="473">
        <v>0</v>
      </c>
      <c r="P46" s="473">
        <v>1</v>
      </c>
      <c r="Q46" s="473">
        <v>44</v>
      </c>
      <c r="R46" s="522">
        <f t="shared" si="22"/>
        <v>62</v>
      </c>
      <c r="S46" s="921">
        <f t="shared" si="2"/>
        <v>0.8252427184466019</v>
      </c>
    </row>
    <row r="47" spans="1:19" ht="18.75" customHeight="1">
      <c r="A47" s="507" t="s">
        <v>55</v>
      </c>
      <c r="B47" s="541" t="s">
        <v>427</v>
      </c>
      <c r="C47" s="522">
        <f t="shared" si="19"/>
        <v>106</v>
      </c>
      <c r="D47" s="473">
        <v>37</v>
      </c>
      <c r="E47" s="473">
        <v>69</v>
      </c>
      <c r="F47" s="473">
        <v>0</v>
      </c>
      <c r="G47" s="473"/>
      <c r="H47" s="522">
        <f t="shared" si="21"/>
        <v>106</v>
      </c>
      <c r="I47" s="522">
        <f t="shared" si="23"/>
        <v>77</v>
      </c>
      <c r="J47" s="473">
        <v>65</v>
      </c>
      <c r="K47" s="473">
        <v>1</v>
      </c>
      <c r="L47" s="473">
        <v>8</v>
      </c>
      <c r="M47" s="473">
        <v>0</v>
      </c>
      <c r="N47" s="473">
        <v>0</v>
      </c>
      <c r="O47" s="473">
        <v>0</v>
      </c>
      <c r="P47" s="473">
        <v>3</v>
      </c>
      <c r="Q47" s="473">
        <v>29</v>
      </c>
      <c r="R47" s="522">
        <f t="shared" si="22"/>
        <v>40</v>
      </c>
      <c r="S47" s="921">
        <f t="shared" si="2"/>
        <v>0.8571428571428571</v>
      </c>
    </row>
    <row r="48" spans="1:19" ht="18.75" customHeight="1">
      <c r="A48" s="507" t="s">
        <v>56</v>
      </c>
      <c r="B48" s="542" t="s">
        <v>473</v>
      </c>
      <c r="C48" s="522">
        <f t="shared" si="19"/>
        <v>266</v>
      </c>
      <c r="D48" s="473">
        <v>114</v>
      </c>
      <c r="E48" s="473">
        <v>152</v>
      </c>
      <c r="F48" s="473">
        <v>2</v>
      </c>
      <c r="G48" s="473">
        <v>0</v>
      </c>
      <c r="H48" s="522">
        <f t="shared" si="21"/>
        <v>264</v>
      </c>
      <c r="I48" s="522">
        <f t="shared" si="23"/>
        <v>182</v>
      </c>
      <c r="J48" s="473">
        <v>124</v>
      </c>
      <c r="K48" s="473">
        <v>8</v>
      </c>
      <c r="L48" s="473">
        <v>34</v>
      </c>
      <c r="M48" s="473">
        <v>0</v>
      </c>
      <c r="N48" s="473">
        <v>0</v>
      </c>
      <c r="O48" s="473">
        <v>0</v>
      </c>
      <c r="P48" s="473">
        <v>16</v>
      </c>
      <c r="Q48" s="473">
        <v>82</v>
      </c>
      <c r="R48" s="522">
        <f t="shared" si="22"/>
        <v>132</v>
      </c>
      <c r="S48" s="921">
        <f t="shared" si="2"/>
        <v>0.7252747252747253</v>
      </c>
    </row>
    <row r="49" spans="1:19" ht="18.75" customHeight="1">
      <c r="A49" s="507" t="s">
        <v>57</v>
      </c>
      <c r="B49" s="543" t="s">
        <v>435</v>
      </c>
      <c r="C49" s="522">
        <f t="shared" si="19"/>
        <v>192</v>
      </c>
      <c r="D49" s="473">
        <v>74</v>
      </c>
      <c r="E49" s="473">
        <v>118</v>
      </c>
      <c r="F49" s="473">
        <v>0</v>
      </c>
      <c r="G49" s="473">
        <v>0</v>
      </c>
      <c r="H49" s="522">
        <f t="shared" si="21"/>
        <v>192</v>
      </c>
      <c r="I49" s="522">
        <f t="shared" si="23"/>
        <v>146</v>
      </c>
      <c r="J49" s="473">
        <v>117</v>
      </c>
      <c r="K49" s="473">
        <v>0</v>
      </c>
      <c r="L49" s="473">
        <v>25</v>
      </c>
      <c r="M49" s="473">
        <v>0</v>
      </c>
      <c r="N49" s="473">
        <v>0</v>
      </c>
      <c r="O49" s="473">
        <v>0</v>
      </c>
      <c r="P49" s="473">
        <v>4</v>
      </c>
      <c r="Q49" s="473">
        <v>46</v>
      </c>
      <c r="R49" s="522">
        <f t="shared" si="22"/>
        <v>75</v>
      </c>
      <c r="S49" s="921">
        <f t="shared" si="2"/>
        <v>0.8013698630136986</v>
      </c>
    </row>
    <row r="50" spans="1:19" ht="18.75" customHeight="1">
      <c r="A50" s="520" t="s">
        <v>54</v>
      </c>
      <c r="B50" s="913" t="s">
        <v>447</v>
      </c>
      <c r="C50" s="518">
        <f t="shared" si="19"/>
        <v>600</v>
      </c>
      <c r="D50" s="518">
        <f aca="true" t="shared" si="24" ref="D50:J50">SUM(D51:D54)</f>
        <v>124</v>
      </c>
      <c r="E50" s="518">
        <f t="shared" si="24"/>
        <v>476</v>
      </c>
      <c r="F50" s="518">
        <f t="shared" si="24"/>
        <v>4</v>
      </c>
      <c r="G50" s="518">
        <f t="shared" si="24"/>
        <v>0</v>
      </c>
      <c r="H50" s="518">
        <f t="shared" si="24"/>
        <v>596</v>
      </c>
      <c r="I50" s="518">
        <f t="shared" si="24"/>
        <v>481</v>
      </c>
      <c r="J50" s="518">
        <f t="shared" si="24"/>
        <v>431</v>
      </c>
      <c r="K50" s="518">
        <f aca="true" t="shared" si="25" ref="K50:R50">SUM(K51:K54)</f>
        <v>4</v>
      </c>
      <c r="L50" s="518">
        <f t="shared" si="25"/>
        <v>44</v>
      </c>
      <c r="M50" s="518">
        <f t="shared" si="25"/>
        <v>2</v>
      </c>
      <c r="N50" s="518">
        <f t="shared" si="25"/>
        <v>0</v>
      </c>
      <c r="O50" s="518">
        <f t="shared" si="25"/>
        <v>0</v>
      </c>
      <c r="P50" s="518">
        <f t="shared" si="25"/>
        <v>0</v>
      </c>
      <c r="Q50" s="518">
        <f t="shared" si="25"/>
        <v>115</v>
      </c>
      <c r="R50" s="518">
        <f t="shared" si="25"/>
        <v>161</v>
      </c>
      <c r="S50" s="519">
        <f t="shared" si="2"/>
        <v>0.9043659043659044</v>
      </c>
    </row>
    <row r="51" spans="1:19" ht="18.75" customHeight="1">
      <c r="A51" s="505" t="s">
        <v>43</v>
      </c>
      <c r="B51" s="506" t="s">
        <v>455</v>
      </c>
      <c r="C51" s="954">
        <f>D51+E51</f>
        <v>92</v>
      </c>
      <c r="D51" s="546">
        <v>15</v>
      </c>
      <c r="E51" s="546">
        <v>77</v>
      </c>
      <c r="F51" s="546"/>
      <c r="G51" s="546"/>
      <c r="H51" s="954">
        <f>C51-F51-G51</f>
        <v>92</v>
      </c>
      <c r="I51" s="954">
        <f>J51+K51+L51+M51+N51+O51+P51</f>
        <v>80</v>
      </c>
      <c r="J51" s="546">
        <v>75</v>
      </c>
      <c r="K51" s="546">
        <v>2</v>
      </c>
      <c r="L51" s="546">
        <v>3</v>
      </c>
      <c r="M51" s="546"/>
      <c r="N51" s="546"/>
      <c r="O51" s="546"/>
      <c r="P51" s="547"/>
      <c r="Q51" s="955">
        <f>H51-I51</f>
        <v>12</v>
      </c>
      <c r="R51" s="955">
        <f>Q51+P51+O51+N51+M51+L51</f>
        <v>15</v>
      </c>
      <c r="S51" s="472">
        <f>(J51+K51)/I51*100%</f>
        <v>0.9625</v>
      </c>
    </row>
    <row r="52" spans="1:19" ht="18.75" customHeight="1">
      <c r="A52" s="505" t="s">
        <v>44</v>
      </c>
      <c r="B52" s="506" t="s">
        <v>449</v>
      </c>
      <c r="C52" s="954">
        <f>D52+E52</f>
        <v>170</v>
      </c>
      <c r="D52" s="546">
        <v>40</v>
      </c>
      <c r="E52" s="546">
        <v>130</v>
      </c>
      <c r="F52" s="546">
        <v>1</v>
      </c>
      <c r="G52" s="546"/>
      <c r="H52" s="954">
        <f>C52-F52-G52</f>
        <v>169</v>
      </c>
      <c r="I52" s="954">
        <f>J52+K52+L52+M52+N52+O52+P52</f>
        <v>136</v>
      </c>
      <c r="J52" s="546">
        <v>121</v>
      </c>
      <c r="K52" s="546">
        <v>2</v>
      </c>
      <c r="L52" s="546">
        <v>12</v>
      </c>
      <c r="M52" s="546">
        <v>1</v>
      </c>
      <c r="N52" s="546"/>
      <c r="O52" s="546"/>
      <c r="P52" s="547"/>
      <c r="Q52" s="955">
        <f>H52-I52</f>
        <v>33</v>
      </c>
      <c r="R52" s="955">
        <f>Q52+P52+O52+N52+M52+L52</f>
        <v>46</v>
      </c>
      <c r="S52" s="472">
        <f>(J52+K52)/I52*100%</f>
        <v>0.9044117647058824</v>
      </c>
    </row>
    <row r="53" spans="1:19" ht="18.75" customHeight="1">
      <c r="A53" s="940" t="s">
        <v>45</v>
      </c>
      <c r="B53" s="506" t="s">
        <v>481</v>
      </c>
      <c r="C53" s="954">
        <f>D53+E53</f>
        <v>239</v>
      </c>
      <c r="D53" s="546">
        <v>57</v>
      </c>
      <c r="E53" s="546">
        <v>182</v>
      </c>
      <c r="F53" s="546"/>
      <c r="G53" s="546"/>
      <c r="H53" s="954">
        <f>C53-F53-G53</f>
        <v>239</v>
      </c>
      <c r="I53" s="954">
        <f>J53+K53+L53+M53+N53+O53+P53</f>
        <v>186</v>
      </c>
      <c r="J53" s="546">
        <v>159</v>
      </c>
      <c r="K53" s="546"/>
      <c r="L53" s="546">
        <v>26</v>
      </c>
      <c r="M53" s="546">
        <v>1</v>
      </c>
      <c r="N53" s="546"/>
      <c r="O53" s="546"/>
      <c r="P53" s="547"/>
      <c r="Q53" s="955">
        <f>H53-I53</f>
        <v>53</v>
      </c>
      <c r="R53" s="955">
        <f>Q53+P53+O53+N53+M53+L53</f>
        <v>80</v>
      </c>
      <c r="S53" s="472">
        <f>(J53+K53)/I53*100%</f>
        <v>0.8548387096774194</v>
      </c>
    </row>
    <row r="54" spans="1:19" ht="18.75" customHeight="1">
      <c r="A54" s="940" t="s">
        <v>54</v>
      </c>
      <c r="B54" s="506" t="s">
        <v>476</v>
      </c>
      <c r="C54" s="954">
        <f>D54+E54</f>
        <v>99</v>
      </c>
      <c r="D54" s="473">
        <v>12</v>
      </c>
      <c r="E54" s="546">
        <v>87</v>
      </c>
      <c r="F54" s="473">
        <v>3</v>
      </c>
      <c r="G54" s="473"/>
      <c r="H54" s="954">
        <f>C54-F54-G54</f>
        <v>96</v>
      </c>
      <c r="I54" s="954">
        <f>J54+K54+L54+M54+N54+O54+P54</f>
        <v>79</v>
      </c>
      <c r="J54" s="473">
        <v>76</v>
      </c>
      <c r="K54" s="473"/>
      <c r="L54" s="473">
        <v>3</v>
      </c>
      <c r="M54" s="473"/>
      <c r="N54" s="473"/>
      <c r="O54" s="473"/>
      <c r="P54" s="473"/>
      <c r="Q54" s="955">
        <f>H54-I54</f>
        <v>17</v>
      </c>
      <c r="R54" s="955">
        <f>Q54+P54+O54+N54+M54+L54</f>
        <v>20</v>
      </c>
      <c r="S54" s="472">
        <f>(J54+K54)/I54*100%</f>
        <v>0.9620253164556962</v>
      </c>
    </row>
    <row r="55" spans="1:19" ht="18.75" customHeight="1">
      <c r="A55" s="520" t="s">
        <v>55</v>
      </c>
      <c r="B55" s="914" t="s">
        <v>450</v>
      </c>
      <c r="C55" s="518">
        <f t="shared" si="19"/>
        <v>783</v>
      </c>
      <c r="D55" s="518">
        <f>SUM(D56:D59)</f>
        <v>183</v>
      </c>
      <c r="E55" s="518">
        <f>SUM(E56:E59)</f>
        <v>600</v>
      </c>
      <c r="F55" s="518">
        <f>SUM(F56:F59)</f>
        <v>2</v>
      </c>
      <c r="G55" s="518">
        <f>SUM(G56:G59)</f>
        <v>0</v>
      </c>
      <c r="H55" s="518">
        <f aca="true" t="shared" si="26" ref="H55:H63">I55+Q55</f>
        <v>781</v>
      </c>
      <c r="I55" s="518">
        <f>SUM(J55:P55)</f>
        <v>624</v>
      </c>
      <c r="J55" s="518">
        <f aca="true" t="shared" si="27" ref="J55:R55">SUM(J56:J59)</f>
        <v>523</v>
      </c>
      <c r="K55" s="518">
        <f t="shared" si="27"/>
        <v>5</v>
      </c>
      <c r="L55" s="518">
        <f t="shared" si="27"/>
        <v>89</v>
      </c>
      <c r="M55" s="518">
        <f t="shared" si="27"/>
        <v>7</v>
      </c>
      <c r="N55" s="518">
        <f t="shared" si="27"/>
        <v>0</v>
      </c>
      <c r="O55" s="518">
        <f t="shared" si="27"/>
        <v>0</v>
      </c>
      <c r="P55" s="518">
        <f t="shared" si="27"/>
        <v>0</v>
      </c>
      <c r="Q55" s="518">
        <f t="shared" si="27"/>
        <v>157</v>
      </c>
      <c r="R55" s="518">
        <f t="shared" si="27"/>
        <v>253</v>
      </c>
      <c r="S55" s="519">
        <f t="shared" si="2"/>
        <v>0.8461538461538461</v>
      </c>
    </row>
    <row r="56" spans="1:19" ht="18.75" customHeight="1">
      <c r="A56" s="474" t="s">
        <v>43</v>
      </c>
      <c r="B56" s="548" t="s">
        <v>451</v>
      </c>
      <c r="C56" s="947">
        <f>SUM(D56,E56)</f>
        <v>115</v>
      </c>
      <c r="D56" s="484">
        <v>25</v>
      </c>
      <c r="E56" s="484">
        <v>90</v>
      </c>
      <c r="F56" s="484"/>
      <c r="G56" s="484"/>
      <c r="H56" s="484">
        <f t="shared" si="26"/>
        <v>115</v>
      </c>
      <c r="I56" s="484">
        <f>SUM(J56:P56)</f>
        <v>88</v>
      </c>
      <c r="J56" s="484">
        <v>74</v>
      </c>
      <c r="K56" s="484">
        <v>1</v>
      </c>
      <c r="L56" s="484">
        <v>13</v>
      </c>
      <c r="M56" s="484"/>
      <c r="N56" s="485"/>
      <c r="O56" s="485"/>
      <c r="P56" s="485"/>
      <c r="Q56" s="486">
        <v>27</v>
      </c>
      <c r="R56" s="948">
        <f>C56-SUM(F56,G56,J56,K56)</f>
        <v>40</v>
      </c>
      <c r="S56" s="956">
        <f>(J56+K56)/I56*100%</f>
        <v>0.8522727272727273</v>
      </c>
    </row>
    <row r="57" spans="1:19" ht="22.5" customHeight="1">
      <c r="A57" s="474" t="s">
        <v>44</v>
      </c>
      <c r="B57" s="548" t="s">
        <v>452</v>
      </c>
      <c r="C57" s="947">
        <f>SUM(D57,E57)</f>
        <v>221</v>
      </c>
      <c r="D57" s="484">
        <v>45</v>
      </c>
      <c r="E57" s="484">
        <v>176</v>
      </c>
      <c r="F57" s="484"/>
      <c r="G57" s="484"/>
      <c r="H57" s="484">
        <f t="shared" si="26"/>
        <v>221</v>
      </c>
      <c r="I57" s="484">
        <f>SUM(J57:P57)</f>
        <v>188</v>
      </c>
      <c r="J57" s="484">
        <v>165</v>
      </c>
      <c r="K57" s="484"/>
      <c r="L57" s="484">
        <v>16</v>
      </c>
      <c r="M57" s="484">
        <v>7</v>
      </c>
      <c r="N57" s="485"/>
      <c r="O57" s="485"/>
      <c r="P57" s="485"/>
      <c r="Q57" s="486">
        <v>33</v>
      </c>
      <c r="R57" s="948">
        <f>C57-SUM(F57,G57,J57,K57)</f>
        <v>56</v>
      </c>
      <c r="S57" s="956">
        <f>(J57+K57)/I57*100%</f>
        <v>0.8776595744680851</v>
      </c>
    </row>
    <row r="58" spans="1:19" ht="18.75" customHeight="1">
      <c r="A58" s="474" t="s">
        <v>45</v>
      </c>
      <c r="B58" s="548" t="s">
        <v>446</v>
      </c>
      <c r="C58" s="947">
        <f>SUM(D58,E58)</f>
        <v>232</v>
      </c>
      <c r="D58" s="484">
        <v>53</v>
      </c>
      <c r="E58" s="484">
        <v>179</v>
      </c>
      <c r="F58" s="484"/>
      <c r="G58" s="484"/>
      <c r="H58" s="484">
        <f t="shared" si="26"/>
        <v>232</v>
      </c>
      <c r="I58" s="484">
        <f>SUM(J58:P58)</f>
        <v>187</v>
      </c>
      <c r="J58" s="484">
        <v>152</v>
      </c>
      <c r="K58" s="484">
        <v>2</v>
      </c>
      <c r="L58" s="484">
        <v>33</v>
      </c>
      <c r="M58" s="484"/>
      <c r="N58" s="485"/>
      <c r="O58" s="485"/>
      <c r="P58" s="485"/>
      <c r="Q58" s="486">
        <v>45</v>
      </c>
      <c r="R58" s="948">
        <f>C58-SUM(F58,G58,J58,K58)</f>
        <v>78</v>
      </c>
      <c r="S58" s="956">
        <f>(J58+K58)/I58*100%</f>
        <v>0.8235294117647058</v>
      </c>
    </row>
    <row r="59" spans="1:19" ht="18.75" customHeight="1">
      <c r="A59" s="474" t="s">
        <v>54</v>
      </c>
      <c r="B59" s="548" t="s">
        <v>453</v>
      </c>
      <c r="C59" s="947">
        <f>SUM(D59,E59)</f>
        <v>215</v>
      </c>
      <c r="D59" s="544">
        <v>60</v>
      </c>
      <c r="E59" s="544">
        <v>155</v>
      </c>
      <c r="F59" s="544">
        <v>2</v>
      </c>
      <c r="G59" s="544"/>
      <c r="H59" s="484">
        <f t="shared" si="26"/>
        <v>213</v>
      </c>
      <c r="I59" s="484">
        <f>SUM(J59:P59)</f>
        <v>161</v>
      </c>
      <c r="J59" s="544">
        <v>132</v>
      </c>
      <c r="K59" s="544">
        <v>2</v>
      </c>
      <c r="L59" s="544">
        <v>27</v>
      </c>
      <c r="M59" s="544"/>
      <c r="N59" s="544"/>
      <c r="O59" s="544"/>
      <c r="P59" s="544"/>
      <c r="Q59" s="544">
        <v>52</v>
      </c>
      <c r="R59" s="486">
        <f>C59-SUM(F59,G59,J59,K59)</f>
        <v>79</v>
      </c>
      <c r="S59" s="956">
        <f>(J59+K59)/I59*100%</f>
        <v>0.8322981366459627</v>
      </c>
    </row>
    <row r="60" spans="1:19" ht="18.75" customHeight="1">
      <c r="A60" s="520" t="s">
        <v>56</v>
      </c>
      <c r="B60" s="913" t="s">
        <v>454</v>
      </c>
      <c r="C60" s="518">
        <f>D60+E60</f>
        <v>192</v>
      </c>
      <c r="D60" s="518">
        <f>SUM(D61:D62)</f>
        <v>63</v>
      </c>
      <c r="E60" s="518">
        <f>SUM(E61:E62)</f>
        <v>129</v>
      </c>
      <c r="F60" s="518">
        <f>SUM(F61:F62)</f>
        <v>3</v>
      </c>
      <c r="G60" s="518">
        <f>SUM(G61:G62)</f>
        <v>0</v>
      </c>
      <c r="H60" s="518">
        <f t="shared" si="26"/>
        <v>189</v>
      </c>
      <c r="I60" s="518">
        <f aca="true" t="shared" si="28" ref="I60:R60">SUM(I61:I62)</f>
        <v>137</v>
      </c>
      <c r="J60" s="518">
        <f t="shared" si="28"/>
        <v>116</v>
      </c>
      <c r="K60" s="518">
        <f t="shared" si="28"/>
        <v>1</v>
      </c>
      <c r="L60" s="518">
        <f t="shared" si="28"/>
        <v>20</v>
      </c>
      <c r="M60" s="518">
        <f t="shared" si="28"/>
        <v>0</v>
      </c>
      <c r="N60" s="518">
        <f t="shared" si="28"/>
        <v>0</v>
      </c>
      <c r="O60" s="518">
        <f t="shared" si="28"/>
        <v>0</v>
      </c>
      <c r="P60" s="518">
        <f t="shared" si="28"/>
        <v>0</v>
      </c>
      <c r="Q60" s="518">
        <f t="shared" si="28"/>
        <v>52</v>
      </c>
      <c r="R60" s="518">
        <f t="shared" si="28"/>
        <v>72</v>
      </c>
      <c r="S60" s="519">
        <f t="shared" si="2"/>
        <v>0.8540145985401459</v>
      </c>
    </row>
    <row r="61" spans="1:19" ht="18.75" customHeight="1">
      <c r="A61" s="941" t="s">
        <v>43</v>
      </c>
      <c r="B61" s="549" t="s">
        <v>448</v>
      </c>
      <c r="C61" s="947">
        <f>SUM(D61,E61)</f>
        <v>65</v>
      </c>
      <c r="D61" s="484">
        <v>25</v>
      </c>
      <c r="E61" s="484">
        <v>40</v>
      </c>
      <c r="F61" s="484">
        <v>0</v>
      </c>
      <c r="G61" s="484">
        <v>0</v>
      </c>
      <c r="H61" s="484">
        <f t="shared" si="26"/>
        <v>65</v>
      </c>
      <c r="I61" s="484">
        <f>SUM(J61:P61)</f>
        <v>47</v>
      </c>
      <c r="J61" s="484">
        <v>35</v>
      </c>
      <c r="K61" s="484">
        <v>0</v>
      </c>
      <c r="L61" s="484">
        <v>12</v>
      </c>
      <c r="M61" s="484">
        <v>0</v>
      </c>
      <c r="N61" s="485">
        <v>0</v>
      </c>
      <c r="O61" s="485">
        <v>0</v>
      </c>
      <c r="P61" s="485">
        <v>0</v>
      </c>
      <c r="Q61" s="486">
        <v>18</v>
      </c>
      <c r="R61" s="948">
        <f>C61-SUM(F61,G61,J61,K61)</f>
        <v>30</v>
      </c>
      <c r="S61" s="931">
        <f>(J61+K61)/I61*100%</f>
        <v>0.7446808510638298</v>
      </c>
    </row>
    <row r="62" spans="1:19" ht="18.75" customHeight="1">
      <c r="A62" s="507" t="s">
        <v>44</v>
      </c>
      <c r="B62" s="550" t="s">
        <v>456</v>
      </c>
      <c r="C62" s="947">
        <f>SUM(D62,E62)</f>
        <v>127</v>
      </c>
      <c r="D62" s="484">
        <v>38</v>
      </c>
      <c r="E62" s="484">
        <v>89</v>
      </c>
      <c r="F62" s="484">
        <v>3</v>
      </c>
      <c r="G62" s="484">
        <v>0</v>
      </c>
      <c r="H62" s="484">
        <f t="shared" si="26"/>
        <v>124</v>
      </c>
      <c r="I62" s="484">
        <f>SUM(J62:P62)</f>
        <v>90</v>
      </c>
      <c r="J62" s="484">
        <v>81</v>
      </c>
      <c r="K62" s="484">
        <v>1</v>
      </c>
      <c r="L62" s="484">
        <v>8</v>
      </c>
      <c r="M62" s="484">
        <v>0</v>
      </c>
      <c r="N62" s="485">
        <v>0</v>
      </c>
      <c r="O62" s="485">
        <v>0</v>
      </c>
      <c r="P62" s="485">
        <v>0</v>
      </c>
      <c r="Q62" s="486">
        <v>34</v>
      </c>
      <c r="R62" s="486">
        <f>C62-SUM(F62,G62,J62,K62)</f>
        <v>42</v>
      </c>
      <c r="S62" s="931">
        <f>(J62+K62)/I62*100%</f>
        <v>0.9111111111111111</v>
      </c>
    </row>
    <row r="63" spans="1:19" ht="18.75" customHeight="1">
      <c r="A63" s="520" t="s">
        <v>57</v>
      </c>
      <c r="B63" s="913" t="s">
        <v>457</v>
      </c>
      <c r="C63" s="518">
        <f>E63+D63</f>
        <v>105</v>
      </c>
      <c r="D63" s="518">
        <f>D64+D65</f>
        <v>31</v>
      </c>
      <c r="E63" s="518">
        <f>E64+E65</f>
        <v>74</v>
      </c>
      <c r="F63" s="518">
        <f>F64+F65</f>
        <v>0</v>
      </c>
      <c r="G63" s="518">
        <f>G64+G65</f>
        <v>0</v>
      </c>
      <c r="H63" s="518">
        <f t="shared" si="26"/>
        <v>105</v>
      </c>
      <c r="I63" s="518">
        <f aca="true" t="shared" si="29" ref="I63:Q63">I64+I65</f>
        <v>72</v>
      </c>
      <c r="J63" s="518">
        <f t="shared" si="29"/>
        <v>53</v>
      </c>
      <c r="K63" s="518">
        <f t="shared" si="29"/>
        <v>1</v>
      </c>
      <c r="L63" s="518">
        <f t="shared" si="29"/>
        <v>18</v>
      </c>
      <c r="M63" s="518">
        <f t="shared" si="29"/>
        <v>0</v>
      </c>
      <c r="N63" s="518">
        <f t="shared" si="29"/>
        <v>0</v>
      </c>
      <c r="O63" s="518">
        <f t="shared" si="29"/>
        <v>0</v>
      </c>
      <c r="P63" s="518">
        <f t="shared" si="29"/>
        <v>0</v>
      </c>
      <c r="Q63" s="518">
        <f t="shared" si="29"/>
        <v>33</v>
      </c>
      <c r="R63" s="545">
        <f>(C63-F63-J63-K63)+G63</f>
        <v>51</v>
      </c>
      <c r="S63" s="536">
        <f>SUM(J63:K63)/SUM(I63)*100%</f>
        <v>0.75</v>
      </c>
    </row>
    <row r="64" spans="1:19" ht="18.75" customHeight="1">
      <c r="A64" s="942" t="s">
        <v>43</v>
      </c>
      <c r="B64" s="552" t="s">
        <v>458</v>
      </c>
      <c r="C64" s="943">
        <f>D64+E64</f>
        <v>16</v>
      </c>
      <c r="D64" s="943">
        <v>7</v>
      </c>
      <c r="E64" s="944">
        <v>9</v>
      </c>
      <c r="F64" s="944">
        <v>0</v>
      </c>
      <c r="G64" s="944">
        <v>0</v>
      </c>
      <c r="H64" s="945">
        <f>I64+Q64</f>
        <v>16</v>
      </c>
      <c r="I64" s="945">
        <f>SUM(J64:P64)</f>
        <v>9</v>
      </c>
      <c r="J64" s="480">
        <v>5</v>
      </c>
      <c r="K64" s="480">
        <v>1</v>
      </c>
      <c r="L64" s="480">
        <v>3</v>
      </c>
      <c r="M64" s="480">
        <v>0</v>
      </c>
      <c r="N64" s="480">
        <v>0</v>
      </c>
      <c r="O64" s="480">
        <v>0</v>
      </c>
      <c r="P64" s="480">
        <v>0</v>
      </c>
      <c r="Q64" s="480">
        <v>7</v>
      </c>
      <c r="R64" s="494">
        <f>L64+M64+N64+O64+P64+Q64</f>
        <v>10</v>
      </c>
      <c r="S64" s="946">
        <f>(J64+K64)/I64*100</f>
        <v>66.66666666666666</v>
      </c>
    </row>
    <row r="65" spans="1:19" ht="18.75" customHeight="1">
      <c r="A65" s="487" t="s">
        <v>44</v>
      </c>
      <c r="B65" s="552" t="s">
        <v>459</v>
      </c>
      <c r="C65" s="943">
        <f>D65+E65</f>
        <v>89</v>
      </c>
      <c r="D65" s="943">
        <v>24</v>
      </c>
      <c r="E65" s="944">
        <v>65</v>
      </c>
      <c r="F65" s="944">
        <v>0</v>
      </c>
      <c r="G65" s="944">
        <v>0</v>
      </c>
      <c r="H65" s="945">
        <f>I65+Q65</f>
        <v>89</v>
      </c>
      <c r="I65" s="945">
        <f>SUM(J65:P65)</f>
        <v>63</v>
      </c>
      <c r="J65" s="480">
        <v>48</v>
      </c>
      <c r="K65" s="480">
        <v>0</v>
      </c>
      <c r="L65" s="480">
        <v>15</v>
      </c>
      <c r="M65" s="480">
        <v>0</v>
      </c>
      <c r="N65" s="480">
        <v>0</v>
      </c>
      <c r="O65" s="480">
        <v>0</v>
      </c>
      <c r="P65" s="480">
        <v>0</v>
      </c>
      <c r="Q65" s="480">
        <v>26</v>
      </c>
      <c r="R65" s="494">
        <f>L65+M65+N65+O65+P65+Q65</f>
        <v>41</v>
      </c>
      <c r="S65" s="946">
        <f>(J65+K65)/I65*100</f>
        <v>76.19047619047619</v>
      </c>
    </row>
    <row r="66" spans="1:22" ht="18.75" customHeight="1" hidden="1">
      <c r="A66" s="908"/>
      <c r="B66" s="908"/>
      <c r="C66" s="908"/>
      <c r="D66" s="908"/>
      <c r="E66" s="908"/>
      <c r="F66" s="908"/>
      <c r="G66" s="908"/>
      <c r="H66" s="908"/>
      <c r="I66" s="908"/>
      <c r="J66" s="908"/>
      <c r="K66" s="908"/>
      <c r="L66" s="908"/>
      <c r="M66" s="908"/>
      <c r="N66" s="908"/>
      <c r="O66" s="908"/>
      <c r="P66" s="908"/>
      <c r="Q66" s="908"/>
      <c r="R66" s="908"/>
      <c r="S66" s="908"/>
      <c r="T66" s="446"/>
      <c r="U66" s="446"/>
      <c r="V66" s="446"/>
    </row>
    <row r="67" spans="1:19" s="379" customFormat="1" ht="29.25" customHeight="1">
      <c r="A67" s="894"/>
      <c r="B67" s="894"/>
      <c r="C67" s="894"/>
      <c r="D67" s="894"/>
      <c r="E67" s="894"/>
      <c r="F67" s="407"/>
      <c r="G67" s="407"/>
      <c r="H67" s="407"/>
      <c r="I67" s="407"/>
      <c r="J67" s="407"/>
      <c r="K67" s="407"/>
      <c r="L67" s="407"/>
      <c r="M67" s="407"/>
      <c r="N67" s="895" t="str">
        <f>'Thong tin'!B8</f>
        <v>Tuyên Quang, ngày  01 tháng 06  năm 2018</v>
      </c>
      <c r="O67" s="895"/>
      <c r="P67" s="895"/>
      <c r="Q67" s="895"/>
      <c r="R67" s="895"/>
      <c r="S67" s="895"/>
    </row>
    <row r="68" spans="1:19" s="380" customFormat="1" ht="19.5" customHeight="1">
      <c r="A68" s="409"/>
      <c r="B68" s="912" t="s">
        <v>4</v>
      </c>
      <c r="C68" s="912"/>
      <c r="D68" s="912"/>
      <c r="E68" s="912"/>
      <c r="F68" s="405"/>
      <c r="G68" s="405"/>
      <c r="H68" s="405"/>
      <c r="I68" s="405"/>
      <c r="J68" s="405"/>
      <c r="K68" s="405"/>
      <c r="L68" s="405"/>
      <c r="M68" s="405"/>
      <c r="N68" s="893" t="str">
        <f>'Thong tin'!B7</f>
        <v>CỤC TRƯỞNG</v>
      </c>
      <c r="O68" s="893"/>
      <c r="P68" s="893"/>
      <c r="Q68" s="893"/>
      <c r="R68" s="893"/>
      <c r="S68" s="893"/>
    </row>
    <row r="69" spans="1:19" ht="18.75">
      <c r="A69" s="403"/>
      <c r="B69" s="858"/>
      <c r="C69" s="858"/>
      <c r="D69" s="858"/>
      <c r="E69" s="404"/>
      <c r="F69" s="404"/>
      <c r="G69" s="404"/>
      <c r="H69" s="404"/>
      <c r="I69" s="404"/>
      <c r="J69" s="404"/>
      <c r="K69" s="404"/>
      <c r="L69" s="404"/>
      <c r="M69" s="404"/>
      <c r="N69" s="857"/>
      <c r="O69" s="857"/>
      <c r="P69" s="857"/>
      <c r="Q69" s="857"/>
      <c r="R69" s="857"/>
      <c r="S69" s="857"/>
    </row>
    <row r="70" spans="1:19" ht="18.75">
      <c r="A70" s="403"/>
      <c r="B70" s="403"/>
      <c r="C70" s="403"/>
      <c r="D70" s="404"/>
      <c r="E70" s="404"/>
      <c r="F70" s="404"/>
      <c r="G70" s="404"/>
      <c r="H70" s="404"/>
      <c r="I70" s="404"/>
      <c r="J70" s="404"/>
      <c r="K70" s="404"/>
      <c r="L70" s="404"/>
      <c r="M70" s="404"/>
      <c r="N70" s="404"/>
      <c r="O70" s="404"/>
      <c r="P70" s="404"/>
      <c r="Q70" s="404"/>
      <c r="R70" s="403"/>
      <c r="S70" s="403"/>
    </row>
    <row r="71" spans="1:19" ht="18.75">
      <c r="A71" s="403"/>
      <c r="B71" s="857"/>
      <c r="C71" s="857"/>
      <c r="D71" s="857"/>
      <c r="E71" s="857"/>
      <c r="F71" s="404"/>
      <c r="G71" s="404"/>
      <c r="H71" s="404"/>
      <c r="I71" s="404"/>
      <c r="J71" s="404"/>
      <c r="K71" s="404"/>
      <c r="L71" s="404"/>
      <c r="M71" s="404"/>
      <c r="N71" s="404"/>
      <c r="O71" s="404"/>
      <c r="P71" s="857"/>
      <c r="Q71" s="857"/>
      <c r="R71" s="857"/>
      <c r="S71" s="403"/>
    </row>
    <row r="72" spans="1:19" ht="15.75" customHeight="1">
      <c r="A72" s="410"/>
      <c r="B72" s="403"/>
      <c r="C72" s="403"/>
      <c r="D72" s="404"/>
      <c r="E72" s="404"/>
      <c r="F72" s="404"/>
      <c r="G72" s="404"/>
      <c r="H72" s="404"/>
      <c r="I72" s="404"/>
      <c r="J72" s="404"/>
      <c r="K72" s="404"/>
      <c r="L72" s="404"/>
      <c r="M72" s="404"/>
      <c r="N72" s="404"/>
      <c r="O72" s="404"/>
      <c r="P72" s="404"/>
      <c r="Q72" s="404"/>
      <c r="R72" s="403"/>
      <c r="S72" s="403"/>
    </row>
    <row r="73" spans="1:19" ht="15.75" customHeight="1">
      <c r="A73" s="403"/>
      <c r="B73" s="907"/>
      <c r="C73" s="907"/>
      <c r="D73" s="907"/>
      <c r="E73" s="907"/>
      <c r="F73" s="907"/>
      <c r="G73" s="907"/>
      <c r="H73" s="907"/>
      <c r="I73" s="907"/>
      <c r="J73" s="907"/>
      <c r="K73" s="907"/>
      <c r="L73" s="907"/>
      <c r="M73" s="907"/>
      <c r="N73" s="907"/>
      <c r="O73" s="907"/>
      <c r="P73" s="404"/>
      <c r="Q73" s="404"/>
      <c r="R73" s="403"/>
      <c r="S73" s="403"/>
    </row>
    <row r="74" spans="1:19" ht="18.75">
      <c r="A74" s="406"/>
      <c r="B74" s="406"/>
      <c r="C74" s="406"/>
      <c r="D74" s="406"/>
      <c r="E74" s="406"/>
      <c r="F74" s="406"/>
      <c r="G74" s="406"/>
      <c r="H74" s="406"/>
      <c r="I74" s="406"/>
      <c r="J74" s="406"/>
      <c r="K74" s="406"/>
      <c r="L74" s="406"/>
      <c r="M74" s="406"/>
      <c r="N74" s="406"/>
      <c r="O74" s="406"/>
      <c r="P74" s="406"/>
      <c r="Q74" s="403"/>
      <c r="R74" s="403"/>
      <c r="S74" s="403"/>
    </row>
    <row r="75" spans="1:19" ht="18.75">
      <c r="A75" s="403"/>
      <c r="B75" s="403"/>
      <c r="C75" s="403"/>
      <c r="D75" s="403"/>
      <c r="E75" s="403"/>
      <c r="F75" s="403"/>
      <c r="G75" s="403"/>
      <c r="H75" s="403"/>
      <c r="I75" s="403"/>
      <c r="J75" s="403"/>
      <c r="K75" s="403"/>
      <c r="L75" s="403"/>
      <c r="M75" s="403"/>
      <c r="N75" s="403"/>
      <c r="O75" s="403"/>
      <c r="P75" s="403"/>
      <c r="Q75" s="403"/>
      <c r="R75" s="403"/>
      <c r="S75" s="403"/>
    </row>
    <row r="76" spans="1:19" ht="18.75">
      <c r="A76" s="403"/>
      <c r="B76" s="873" t="str">
        <f>'Thong tin'!B5</f>
        <v>Duy Thị Thúy</v>
      </c>
      <c r="C76" s="873"/>
      <c r="D76" s="873"/>
      <c r="E76" s="873"/>
      <c r="F76" s="403"/>
      <c r="G76" s="403"/>
      <c r="H76" s="403"/>
      <c r="I76" s="403"/>
      <c r="J76" s="403"/>
      <c r="K76" s="403"/>
      <c r="L76" s="403"/>
      <c r="M76" s="403"/>
      <c r="N76" s="873" t="str">
        <f>'Thong tin'!B6</f>
        <v>Nguyễn Tuyên </v>
      </c>
      <c r="O76" s="873"/>
      <c r="P76" s="873"/>
      <c r="Q76" s="873"/>
      <c r="R76" s="873"/>
      <c r="S76" s="873"/>
    </row>
    <row r="77" spans="1:19" ht="18.75">
      <c r="A77" s="388"/>
      <c r="B77" s="388"/>
      <c r="C77" s="388"/>
      <c r="D77" s="388"/>
      <c r="E77" s="388"/>
      <c r="F77" s="388"/>
      <c r="G77" s="388"/>
      <c r="H77" s="388"/>
      <c r="I77" s="388"/>
      <c r="J77" s="388"/>
      <c r="K77" s="388"/>
      <c r="L77" s="388"/>
      <c r="M77" s="388"/>
      <c r="N77" s="388"/>
      <c r="O77" s="388"/>
      <c r="P77" s="388"/>
      <c r="Q77" s="388"/>
      <c r="R77" s="388"/>
      <c r="S77" s="388"/>
    </row>
  </sheetData>
  <sheetProtection/>
  <mergeCells count="37">
    <mergeCell ref="R6:R9"/>
    <mergeCell ref="C7:C9"/>
    <mergeCell ref="N76:S76"/>
    <mergeCell ref="D7:E7"/>
    <mergeCell ref="D8:D9"/>
    <mergeCell ref="E8:E9"/>
    <mergeCell ref="J8:P8"/>
    <mergeCell ref="B76:E76"/>
    <mergeCell ref="A10:B10"/>
    <mergeCell ref="B68:E68"/>
    <mergeCell ref="A11:B11"/>
    <mergeCell ref="N69:S69"/>
    <mergeCell ref="B73:O73"/>
    <mergeCell ref="B69:D69"/>
    <mergeCell ref="B71:E71"/>
    <mergeCell ref="P71:R71"/>
    <mergeCell ref="A66:S66"/>
    <mergeCell ref="E1:O1"/>
    <mergeCell ref="E2:O2"/>
    <mergeCell ref="E3:O3"/>
    <mergeCell ref="F6:F9"/>
    <mergeCell ref="G6:G9"/>
    <mergeCell ref="H6:Q6"/>
    <mergeCell ref="C6:E6"/>
    <mergeCell ref="P4:S4"/>
    <mergeCell ref="H7:H9"/>
    <mergeCell ref="Q7:Q9"/>
    <mergeCell ref="A2:D2"/>
    <mergeCell ref="P2:S2"/>
    <mergeCell ref="A3:D3"/>
    <mergeCell ref="N68:S68"/>
    <mergeCell ref="A67:E67"/>
    <mergeCell ref="N67:S67"/>
    <mergeCell ref="A6:B9"/>
    <mergeCell ref="I8:I9"/>
    <mergeCell ref="S6:S9"/>
    <mergeCell ref="I7:P7"/>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3" t="s">
        <v>29</v>
      </c>
      <c r="B1" s="603"/>
      <c r="C1" s="603"/>
      <c r="D1" s="603"/>
      <c r="E1" s="602" t="s">
        <v>359</v>
      </c>
      <c r="F1" s="602"/>
      <c r="G1" s="602"/>
      <c r="H1" s="602"/>
      <c r="I1" s="602"/>
      <c r="J1" s="602"/>
      <c r="K1" s="602"/>
      <c r="L1" s="31" t="s">
        <v>335</v>
      </c>
      <c r="M1" s="31"/>
      <c r="N1" s="31"/>
      <c r="O1" s="32"/>
      <c r="P1" s="32"/>
    </row>
    <row r="2" spans="1:16" ht="15.75" customHeight="1">
      <c r="A2" s="604" t="s">
        <v>226</v>
      </c>
      <c r="B2" s="604"/>
      <c r="C2" s="604"/>
      <c r="D2" s="604"/>
      <c r="E2" s="602"/>
      <c r="F2" s="602"/>
      <c r="G2" s="602"/>
      <c r="H2" s="602"/>
      <c r="I2" s="602"/>
      <c r="J2" s="602"/>
      <c r="K2" s="602"/>
      <c r="L2" s="594" t="s">
        <v>238</v>
      </c>
      <c r="M2" s="594"/>
      <c r="N2" s="594"/>
      <c r="O2" s="35"/>
      <c r="P2" s="32"/>
    </row>
    <row r="3" spans="1:16" ht="18" customHeight="1">
      <c r="A3" s="604" t="s">
        <v>227</v>
      </c>
      <c r="B3" s="604"/>
      <c r="C3" s="604"/>
      <c r="D3" s="604"/>
      <c r="E3" s="605" t="s">
        <v>355</v>
      </c>
      <c r="F3" s="605"/>
      <c r="G3" s="605"/>
      <c r="H3" s="605"/>
      <c r="I3" s="605"/>
      <c r="J3" s="605"/>
      <c r="K3" s="36"/>
      <c r="L3" s="595" t="s">
        <v>354</v>
      </c>
      <c r="M3" s="595"/>
      <c r="N3" s="595"/>
      <c r="O3" s="32"/>
      <c r="P3" s="32"/>
    </row>
    <row r="4" spans="1:16" ht="21" customHeight="1">
      <c r="A4" s="601" t="s">
        <v>241</v>
      </c>
      <c r="B4" s="601"/>
      <c r="C4" s="601"/>
      <c r="D4" s="601"/>
      <c r="E4" s="39"/>
      <c r="F4" s="40"/>
      <c r="G4" s="41"/>
      <c r="H4" s="41"/>
      <c r="I4" s="41"/>
      <c r="J4" s="41"/>
      <c r="K4" s="32"/>
      <c r="L4" s="594" t="s">
        <v>233</v>
      </c>
      <c r="M4" s="594"/>
      <c r="N4" s="594"/>
      <c r="O4" s="35"/>
      <c r="P4" s="32"/>
    </row>
    <row r="5" spans="1:16" ht="18" customHeight="1">
      <c r="A5" s="41"/>
      <c r="B5" s="32"/>
      <c r="C5" s="42"/>
      <c r="D5" s="599"/>
      <c r="E5" s="599"/>
      <c r="F5" s="599"/>
      <c r="G5" s="599"/>
      <c r="H5" s="599"/>
      <c r="I5" s="599"/>
      <c r="J5" s="599"/>
      <c r="K5" s="599"/>
      <c r="L5" s="43" t="s">
        <v>242</v>
      </c>
      <c r="M5" s="43"/>
      <c r="N5" s="43"/>
      <c r="O5" s="32"/>
      <c r="P5" s="32"/>
    </row>
    <row r="6" spans="1:18" ht="33" customHeight="1">
      <c r="A6" s="586" t="s">
        <v>53</v>
      </c>
      <c r="B6" s="587"/>
      <c r="C6" s="600" t="s">
        <v>243</v>
      </c>
      <c r="D6" s="600"/>
      <c r="E6" s="600"/>
      <c r="F6" s="600"/>
      <c r="G6" s="596" t="s">
        <v>7</v>
      </c>
      <c r="H6" s="597"/>
      <c r="I6" s="597"/>
      <c r="J6" s="597"/>
      <c r="K6" s="597"/>
      <c r="L6" s="597"/>
      <c r="M6" s="597"/>
      <c r="N6" s="598"/>
      <c r="O6" s="612" t="s">
        <v>244</v>
      </c>
      <c r="P6" s="613"/>
      <c r="Q6" s="613"/>
      <c r="R6" s="614"/>
    </row>
    <row r="7" spans="1:18" ht="29.25" customHeight="1">
      <c r="A7" s="588"/>
      <c r="B7" s="589"/>
      <c r="C7" s="600"/>
      <c r="D7" s="600"/>
      <c r="E7" s="600"/>
      <c r="F7" s="600"/>
      <c r="G7" s="596" t="s">
        <v>245</v>
      </c>
      <c r="H7" s="597"/>
      <c r="I7" s="597"/>
      <c r="J7" s="598"/>
      <c r="K7" s="596" t="s">
        <v>88</v>
      </c>
      <c r="L7" s="597"/>
      <c r="M7" s="597"/>
      <c r="N7" s="598"/>
      <c r="O7" s="45" t="s">
        <v>246</v>
      </c>
      <c r="P7" s="45" t="s">
        <v>247</v>
      </c>
      <c r="Q7" s="615" t="s">
        <v>248</v>
      </c>
      <c r="R7" s="615" t="s">
        <v>249</v>
      </c>
    </row>
    <row r="8" spans="1:18" ht="26.25" customHeight="1">
      <c r="A8" s="588"/>
      <c r="B8" s="589"/>
      <c r="C8" s="583" t="s">
        <v>85</v>
      </c>
      <c r="D8" s="584"/>
      <c r="E8" s="583" t="s">
        <v>84</v>
      </c>
      <c r="F8" s="584"/>
      <c r="G8" s="583" t="s">
        <v>86</v>
      </c>
      <c r="H8" s="585"/>
      <c r="I8" s="583" t="s">
        <v>87</v>
      </c>
      <c r="J8" s="585"/>
      <c r="K8" s="583" t="s">
        <v>89</v>
      </c>
      <c r="L8" s="585"/>
      <c r="M8" s="583" t="s">
        <v>90</v>
      </c>
      <c r="N8" s="585"/>
      <c r="O8" s="617" t="s">
        <v>250</v>
      </c>
      <c r="P8" s="618" t="s">
        <v>251</v>
      </c>
      <c r="Q8" s="615"/>
      <c r="R8" s="615"/>
    </row>
    <row r="9" spans="1:18" ht="30.75" customHeight="1">
      <c r="A9" s="588"/>
      <c r="B9" s="589"/>
      <c r="C9" s="46" t="s">
        <v>3</v>
      </c>
      <c r="D9" s="44" t="s">
        <v>9</v>
      </c>
      <c r="E9" s="44" t="s">
        <v>3</v>
      </c>
      <c r="F9" s="44" t="s">
        <v>9</v>
      </c>
      <c r="G9" s="47" t="s">
        <v>3</v>
      </c>
      <c r="H9" s="47" t="s">
        <v>9</v>
      </c>
      <c r="I9" s="47" t="s">
        <v>3</v>
      </c>
      <c r="J9" s="47" t="s">
        <v>9</v>
      </c>
      <c r="K9" s="47" t="s">
        <v>3</v>
      </c>
      <c r="L9" s="47" t="s">
        <v>9</v>
      </c>
      <c r="M9" s="47" t="s">
        <v>3</v>
      </c>
      <c r="N9" s="47" t="s">
        <v>9</v>
      </c>
      <c r="O9" s="617"/>
      <c r="P9" s="619"/>
      <c r="Q9" s="616"/>
      <c r="R9" s="616"/>
    </row>
    <row r="10" spans="1:18" s="52" customFormat="1" ht="18" customHeight="1">
      <c r="A10" s="608" t="s">
        <v>6</v>
      </c>
      <c r="B10" s="608"/>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10" t="s">
        <v>252</v>
      </c>
      <c r="B11" s="611"/>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92" t="s">
        <v>356</v>
      </c>
      <c r="B12" s="593"/>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90" t="s">
        <v>31</v>
      </c>
      <c r="B13" s="591"/>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9" t="s">
        <v>357</v>
      </c>
      <c r="C28" s="609"/>
      <c r="D28" s="609"/>
      <c r="E28" s="609"/>
      <c r="F28" s="75"/>
      <c r="G28" s="76"/>
      <c r="H28" s="76"/>
      <c r="I28" s="76"/>
      <c r="J28" s="609" t="s">
        <v>358</v>
      </c>
      <c r="K28" s="609"/>
      <c r="L28" s="609"/>
      <c r="M28" s="609"/>
      <c r="N28" s="609"/>
      <c r="O28" s="77"/>
      <c r="P28" s="77"/>
      <c r="AG28" s="78" t="s">
        <v>273</v>
      </c>
      <c r="AI28" s="79">
        <f>82/88</f>
        <v>0.9318181818181818</v>
      </c>
    </row>
    <row r="29" spans="1:16" s="85" customFormat="1" ht="19.5" customHeight="1">
      <c r="A29" s="80"/>
      <c r="B29" s="582" t="s">
        <v>35</v>
      </c>
      <c r="C29" s="582"/>
      <c r="D29" s="582"/>
      <c r="E29" s="582"/>
      <c r="F29" s="82"/>
      <c r="G29" s="83"/>
      <c r="H29" s="83"/>
      <c r="I29" s="83"/>
      <c r="J29" s="582" t="s">
        <v>274</v>
      </c>
      <c r="K29" s="582"/>
      <c r="L29" s="582"/>
      <c r="M29" s="582"/>
      <c r="N29" s="582"/>
      <c r="O29" s="84"/>
      <c r="P29" s="84"/>
    </row>
    <row r="30" spans="1:16" s="85" customFormat="1" ht="19.5" customHeight="1">
      <c r="A30" s="80"/>
      <c r="B30" s="606"/>
      <c r="C30" s="606"/>
      <c r="D30" s="606"/>
      <c r="E30" s="82"/>
      <c r="F30" s="82"/>
      <c r="G30" s="83"/>
      <c r="H30" s="83"/>
      <c r="I30" s="83"/>
      <c r="J30" s="607"/>
      <c r="K30" s="607"/>
      <c r="L30" s="607"/>
      <c r="M30" s="607"/>
      <c r="N30" s="607"/>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21" t="s">
        <v>275</v>
      </c>
      <c r="C32" s="621"/>
      <c r="D32" s="621"/>
      <c r="E32" s="621"/>
      <c r="F32" s="87"/>
      <c r="G32" s="88"/>
      <c r="H32" s="88"/>
      <c r="I32" s="88"/>
      <c r="J32" s="620" t="s">
        <v>275</v>
      </c>
      <c r="K32" s="620"/>
      <c r="L32" s="620"/>
      <c r="M32" s="620"/>
      <c r="N32" s="620"/>
      <c r="O32" s="84"/>
      <c r="P32" s="84"/>
    </row>
    <row r="33" spans="1:16" s="85" customFormat="1" ht="19.5" customHeight="1">
      <c r="A33" s="80"/>
      <c r="B33" s="582" t="s">
        <v>276</v>
      </c>
      <c r="C33" s="582"/>
      <c r="D33" s="582"/>
      <c r="E33" s="582"/>
      <c r="F33" s="82"/>
      <c r="G33" s="83"/>
      <c r="H33" s="83"/>
      <c r="I33" s="83"/>
      <c r="J33" s="81"/>
      <c r="K33" s="582" t="s">
        <v>276</v>
      </c>
      <c r="L33" s="582"/>
      <c r="M33" s="58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80" t="s">
        <v>229</v>
      </c>
      <c r="C36" s="580"/>
      <c r="D36" s="580"/>
      <c r="E36" s="580"/>
      <c r="F36" s="91"/>
      <c r="G36" s="91"/>
      <c r="H36" s="91"/>
      <c r="I36" s="91"/>
      <c r="J36" s="581" t="s">
        <v>230</v>
      </c>
      <c r="K36" s="581"/>
      <c r="L36" s="581"/>
      <c r="M36" s="581"/>
      <c r="N36" s="581"/>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7" t="s">
        <v>26</v>
      </c>
      <c r="B1" s="657"/>
      <c r="C1" s="98"/>
      <c r="D1" s="660" t="s">
        <v>336</v>
      </c>
      <c r="E1" s="660"/>
      <c r="F1" s="660"/>
      <c r="G1" s="660"/>
      <c r="H1" s="660"/>
      <c r="I1" s="660"/>
      <c r="J1" s="660"/>
      <c r="K1" s="660"/>
      <c r="L1" s="660"/>
      <c r="M1" s="631" t="s">
        <v>277</v>
      </c>
      <c r="N1" s="632"/>
      <c r="O1" s="632"/>
      <c r="P1" s="632"/>
    </row>
    <row r="2" spans="1:16" s="42" customFormat="1" ht="34.5" customHeight="1">
      <c r="A2" s="659" t="s">
        <v>278</v>
      </c>
      <c r="B2" s="659"/>
      <c r="C2" s="659"/>
      <c r="D2" s="660"/>
      <c r="E2" s="660"/>
      <c r="F2" s="660"/>
      <c r="G2" s="660"/>
      <c r="H2" s="660"/>
      <c r="I2" s="660"/>
      <c r="J2" s="660"/>
      <c r="K2" s="660"/>
      <c r="L2" s="660"/>
      <c r="M2" s="633" t="s">
        <v>337</v>
      </c>
      <c r="N2" s="634"/>
      <c r="O2" s="634"/>
      <c r="P2" s="634"/>
    </row>
    <row r="3" spans="1:16" s="42" customFormat="1" ht="19.5" customHeight="1">
      <c r="A3" s="658" t="s">
        <v>279</v>
      </c>
      <c r="B3" s="658"/>
      <c r="C3" s="658"/>
      <c r="D3" s="660"/>
      <c r="E3" s="660"/>
      <c r="F3" s="660"/>
      <c r="G3" s="660"/>
      <c r="H3" s="660"/>
      <c r="I3" s="660"/>
      <c r="J3" s="660"/>
      <c r="K3" s="660"/>
      <c r="L3" s="660"/>
      <c r="M3" s="633" t="s">
        <v>280</v>
      </c>
      <c r="N3" s="634"/>
      <c r="O3" s="634"/>
      <c r="P3" s="634"/>
    </row>
    <row r="4" spans="1:16" s="103" customFormat="1" ht="18.75" customHeight="1">
      <c r="A4" s="99"/>
      <c r="B4" s="99"/>
      <c r="C4" s="100"/>
      <c r="D4" s="599"/>
      <c r="E4" s="599"/>
      <c r="F4" s="599"/>
      <c r="G4" s="599"/>
      <c r="H4" s="599"/>
      <c r="I4" s="599"/>
      <c r="J4" s="599"/>
      <c r="K4" s="599"/>
      <c r="L4" s="599"/>
      <c r="M4" s="101" t="s">
        <v>281</v>
      </c>
      <c r="N4" s="102"/>
      <c r="O4" s="102"/>
      <c r="P4" s="102"/>
    </row>
    <row r="5" spans="1:16" ht="49.5" customHeight="1">
      <c r="A5" s="646" t="s">
        <v>53</v>
      </c>
      <c r="B5" s="647"/>
      <c r="C5" s="652" t="s">
        <v>78</v>
      </c>
      <c r="D5" s="637"/>
      <c r="E5" s="637"/>
      <c r="F5" s="637"/>
      <c r="G5" s="637"/>
      <c r="H5" s="637"/>
      <c r="I5" s="637"/>
      <c r="J5" s="637"/>
      <c r="K5" s="635" t="s">
        <v>77</v>
      </c>
      <c r="L5" s="635"/>
      <c r="M5" s="635"/>
      <c r="N5" s="635"/>
      <c r="O5" s="635"/>
      <c r="P5" s="635"/>
    </row>
    <row r="6" spans="1:16" ht="20.25" customHeight="1">
      <c r="A6" s="648"/>
      <c r="B6" s="649"/>
      <c r="C6" s="652" t="s">
        <v>3</v>
      </c>
      <c r="D6" s="637"/>
      <c r="E6" s="637"/>
      <c r="F6" s="638"/>
      <c r="G6" s="635" t="s">
        <v>9</v>
      </c>
      <c r="H6" s="635"/>
      <c r="I6" s="635"/>
      <c r="J6" s="635"/>
      <c r="K6" s="636" t="s">
        <v>3</v>
      </c>
      <c r="L6" s="636"/>
      <c r="M6" s="636"/>
      <c r="N6" s="641" t="s">
        <v>9</v>
      </c>
      <c r="O6" s="641"/>
      <c r="P6" s="641"/>
    </row>
    <row r="7" spans="1:16" ht="52.5" customHeight="1">
      <c r="A7" s="648"/>
      <c r="B7" s="649"/>
      <c r="C7" s="653" t="s">
        <v>282</v>
      </c>
      <c r="D7" s="637" t="s">
        <v>74</v>
      </c>
      <c r="E7" s="637"/>
      <c r="F7" s="638"/>
      <c r="G7" s="635" t="s">
        <v>283</v>
      </c>
      <c r="H7" s="635" t="s">
        <v>74</v>
      </c>
      <c r="I7" s="635"/>
      <c r="J7" s="635"/>
      <c r="K7" s="635" t="s">
        <v>32</v>
      </c>
      <c r="L7" s="635" t="s">
        <v>75</v>
      </c>
      <c r="M7" s="635"/>
      <c r="N7" s="635" t="s">
        <v>60</v>
      </c>
      <c r="O7" s="635" t="s">
        <v>75</v>
      </c>
      <c r="P7" s="635"/>
    </row>
    <row r="8" spans="1:16" ht="15.75" customHeight="1">
      <c r="A8" s="648"/>
      <c r="B8" s="649"/>
      <c r="C8" s="653"/>
      <c r="D8" s="635" t="s">
        <v>36</v>
      </c>
      <c r="E8" s="635" t="s">
        <v>37</v>
      </c>
      <c r="F8" s="635" t="s">
        <v>40</v>
      </c>
      <c r="G8" s="635"/>
      <c r="H8" s="635" t="s">
        <v>36</v>
      </c>
      <c r="I8" s="635" t="s">
        <v>37</v>
      </c>
      <c r="J8" s="635" t="s">
        <v>40</v>
      </c>
      <c r="K8" s="635"/>
      <c r="L8" s="635" t="s">
        <v>14</v>
      </c>
      <c r="M8" s="635" t="s">
        <v>13</v>
      </c>
      <c r="N8" s="635"/>
      <c r="O8" s="635" t="s">
        <v>14</v>
      </c>
      <c r="P8" s="635" t="s">
        <v>13</v>
      </c>
    </row>
    <row r="9" spans="1:16" ht="44.25" customHeight="1">
      <c r="A9" s="650"/>
      <c r="B9" s="651"/>
      <c r="C9" s="654"/>
      <c r="D9" s="635"/>
      <c r="E9" s="635"/>
      <c r="F9" s="635"/>
      <c r="G9" s="635"/>
      <c r="H9" s="635"/>
      <c r="I9" s="635"/>
      <c r="J9" s="635"/>
      <c r="K9" s="635"/>
      <c r="L9" s="635"/>
      <c r="M9" s="635"/>
      <c r="N9" s="635"/>
      <c r="O9" s="635"/>
      <c r="P9" s="635"/>
    </row>
    <row r="10" spans="1:16" ht="15" customHeight="1">
      <c r="A10" s="644" t="s">
        <v>6</v>
      </c>
      <c r="B10" s="645"/>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55" t="s">
        <v>284</v>
      </c>
      <c r="B11" s="65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39" t="s">
        <v>285</v>
      </c>
      <c r="B12" s="640"/>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42" t="s">
        <v>33</v>
      </c>
      <c r="B13" s="643"/>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27" t="s">
        <v>338</v>
      </c>
      <c r="C28" s="628"/>
      <c r="D28" s="628"/>
      <c r="E28" s="628"/>
      <c r="F28" s="123"/>
      <c r="G28" s="123"/>
      <c r="H28" s="123"/>
      <c r="I28" s="123"/>
      <c r="J28" s="123"/>
      <c r="K28" s="622" t="s">
        <v>339</v>
      </c>
      <c r="L28" s="622"/>
      <c r="M28" s="622"/>
      <c r="N28" s="622"/>
      <c r="O28" s="622"/>
      <c r="P28" s="622"/>
      <c r="AG28" s="73" t="s">
        <v>273</v>
      </c>
      <c r="AI28" s="113">
        <f>82/88</f>
        <v>0.9318181818181818</v>
      </c>
    </row>
    <row r="29" spans="2:16" ht="16.5">
      <c r="B29" s="628"/>
      <c r="C29" s="628"/>
      <c r="D29" s="628"/>
      <c r="E29" s="628"/>
      <c r="F29" s="123"/>
      <c r="G29" s="123"/>
      <c r="H29" s="123"/>
      <c r="I29" s="123"/>
      <c r="J29" s="123"/>
      <c r="K29" s="622"/>
      <c r="L29" s="622"/>
      <c r="M29" s="622"/>
      <c r="N29" s="622"/>
      <c r="O29" s="622"/>
      <c r="P29" s="622"/>
    </row>
    <row r="30" spans="2:16" ht="21" customHeight="1">
      <c r="B30" s="628"/>
      <c r="C30" s="628"/>
      <c r="D30" s="628"/>
      <c r="E30" s="628"/>
      <c r="F30" s="123"/>
      <c r="G30" s="123"/>
      <c r="H30" s="123"/>
      <c r="I30" s="123"/>
      <c r="J30" s="123"/>
      <c r="K30" s="622"/>
      <c r="L30" s="622"/>
      <c r="M30" s="622"/>
      <c r="N30" s="622"/>
      <c r="O30" s="622"/>
      <c r="P30" s="622"/>
    </row>
    <row r="32" spans="2:16" ht="16.5" customHeight="1">
      <c r="B32" s="630" t="s">
        <v>276</v>
      </c>
      <c r="C32" s="630"/>
      <c r="D32" s="630"/>
      <c r="E32" s="124"/>
      <c r="F32" s="124"/>
      <c r="G32" s="124"/>
      <c r="H32" s="124"/>
      <c r="I32" s="124"/>
      <c r="J32" s="124"/>
      <c r="K32" s="629" t="s">
        <v>340</v>
      </c>
      <c r="L32" s="629"/>
      <c r="M32" s="629"/>
      <c r="N32" s="629"/>
      <c r="O32" s="629"/>
      <c r="P32" s="629"/>
    </row>
    <row r="33" ht="12.75" customHeight="1"/>
    <row r="34" spans="2:5" ht="15.75">
      <c r="B34" s="125"/>
      <c r="C34" s="125"/>
      <c r="D34" s="125"/>
      <c r="E34" s="125"/>
    </row>
    <row r="35" ht="15.75" hidden="1"/>
    <row r="36" spans="2:16" ht="15.75">
      <c r="B36" s="625" t="s">
        <v>229</v>
      </c>
      <c r="C36" s="625"/>
      <c r="D36" s="625"/>
      <c r="E36" s="625"/>
      <c r="F36" s="126"/>
      <c r="G36" s="126"/>
      <c r="H36" s="126"/>
      <c r="I36" s="126"/>
      <c r="K36" s="626" t="s">
        <v>230</v>
      </c>
      <c r="L36" s="626"/>
      <c r="M36" s="626"/>
      <c r="N36" s="626"/>
      <c r="O36" s="626"/>
      <c r="P36" s="626"/>
    </row>
    <row r="39" ht="15.75">
      <c r="A39" s="128" t="s">
        <v>41</v>
      </c>
    </row>
    <row r="40" spans="1:6" ht="15.75">
      <c r="A40" s="129"/>
      <c r="B40" s="130" t="s">
        <v>46</v>
      </c>
      <c r="C40" s="130"/>
      <c r="D40" s="130"/>
      <c r="E40" s="130"/>
      <c r="F40" s="130"/>
    </row>
    <row r="41" spans="1:14" ht="15.75" customHeight="1">
      <c r="A41" s="131" t="s">
        <v>25</v>
      </c>
      <c r="B41" s="624" t="s">
        <v>49</v>
      </c>
      <c r="C41" s="624"/>
      <c r="D41" s="624"/>
      <c r="E41" s="624"/>
      <c r="F41" s="624"/>
      <c r="G41" s="131"/>
      <c r="H41" s="131"/>
      <c r="I41" s="131"/>
      <c r="J41" s="131"/>
      <c r="K41" s="131"/>
      <c r="L41" s="131"/>
      <c r="M41" s="131"/>
      <c r="N41" s="131"/>
    </row>
    <row r="42" spans="1:14" ht="15" customHeight="1">
      <c r="A42" s="131"/>
      <c r="B42" s="623" t="s">
        <v>50</v>
      </c>
      <c r="C42" s="623"/>
      <c r="D42" s="623"/>
      <c r="E42" s="623"/>
      <c r="F42" s="623"/>
      <c r="G42" s="623"/>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3" t="s">
        <v>95</v>
      </c>
      <c r="B1" s="603"/>
      <c r="C1" s="603"/>
      <c r="D1" s="680" t="s">
        <v>341</v>
      </c>
      <c r="E1" s="680"/>
      <c r="F1" s="680"/>
      <c r="G1" s="680"/>
      <c r="H1" s="680"/>
      <c r="I1" s="680"/>
      <c r="J1" s="677" t="s">
        <v>342</v>
      </c>
      <c r="K1" s="678"/>
      <c r="L1" s="678"/>
    </row>
    <row r="2" spans="1:13" ht="15.75" customHeight="1">
      <c r="A2" s="679" t="s">
        <v>287</v>
      </c>
      <c r="B2" s="679"/>
      <c r="C2" s="679"/>
      <c r="D2" s="680"/>
      <c r="E2" s="680"/>
      <c r="F2" s="680"/>
      <c r="G2" s="680"/>
      <c r="H2" s="680"/>
      <c r="I2" s="680"/>
      <c r="J2" s="678" t="s">
        <v>288</v>
      </c>
      <c r="K2" s="678"/>
      <c r="L2" s="678"/>
      <c r="M2" s="133"/>
    </row>
    <row r="3" spans="1:13" ht="15.75" customHeight="1">
      <c r="A3" s="604" t="s">
        <v>239</v>
      </c>
      <c r="B3" s="604"/>
      <c r="C3" s="604"/>
      <c r="D3" s="680"/>
      <c r="E3" s="680"/>
      <c r="F3" s="680"/>
      <c r="G3" s="680"/>
      <c r="H3" s="680"/>
      <c r="I3" s="680"/>
      <c r="J3" s="677" t="s">
        <v>343</v>
      </c>
      <c r="K3" s="677"/>
      <c r="L3" s="677"/>
      <c r="M3" s="37"/>
    </row>
    <row r="4" spans="1:13" ht="15.75" customHeight="1">
      <c r="A4" s="688" t="s">
        <v>241</v>
      </c>
      <c r="B4" s="688"/>
      <c r="C4" s="688"/>
      <c r="D4" s="682"/>
      <c r="E4" s="682"/>
      <c r="F4" s="682"/>
      <c r="G4" s="682"/>
      <c r="H4" s="682"/>
      <c r="I4" s="682"/>
      <c r="J4" s="678" t="s">
        <v>289</v>
      </c>
      <c r="K4" s="678"/>
      <c r="L4" s="678"/>
      <c r="M4" s="133"/>
    </row>
    <row r="5" spans="1:13" ht="15.75">
      <c r="A5" s="134"/>
      <c r="B5" s="134"/>
      <c r="C5" s="34"/>
      <c r="D5" s="34"/>
      <c r="E5" s="34"/>
      <c r="F5" s="34"/>
      <c r="G5" s="34"/>
      <c r="H5" s="34"/>
      <c r="I5" s="34"/>
      <c r="J5" s="681" t="s">
        <v>8</v>
      </c>
      <c r="K5" s="681"/>
      <c r="L5" s="681"/>
      <c r="M5" s="133"/>
    </row>
    <row r="6" spans="1:14" ht="15.75">
      <c r="A6" s="663" t="s">
        <v>53</v>
      </c>
      <c r="B6" s="664"/>
      <c r="C6" s="635" t="s">
        <v>290</v>
      </c>
      <c r="D6" s="687" t="s">
        <v>291</v>
      </c>
      <c r="E6" s="687"/>
      <c r="F6" s="687"/>
      <c r="G6" s="687"/>
      <c r="H6" s="687"/>
      <c r="I6" s="687"/>
      <c r="J6" s="600" t="s">
        <v>93</v>
      </c>
      <c r="K6" s="600"/>
      <c r="L6" s="600"/>
      <c r="M6" s="689" t="s">
        <v>292</v>
      </c>
      <c r="N6" s="690" t="s">
        <v>293</v>
      </c>
    </row>
    <row r="7" spans="1:14" ht="15.75" customHeight="1">
      <c r="A7" s="665"/>
      <c r="B7" s="666"/>
      <c r="C7" s="635"/>
      <c r="D7" s="687" t="s">
        <v>7</v>
      </c>
      <c r="E7" s="687"/>
      <c r="F7" s="687"/>
      <c r="G7" s="687"/>
      <c r="H7" s="687"/>
      <c r="I7" s="687"/>
      <c r="J7" s="600"/>
      <c r="K7" s="600"/>
      <c r="L7" s="600"/>
      <c r="M7" s="689"/>
      <c r="N7" s="690"/>
    </row>
    <row r="8" spans="1:14" s="73" customFormat="1" ht="31.5" customHeight="1">
      <c r="A8" s="665"/>
      <c r="B8" s="666"/>
      <c r="C8" s="635"/>
      <c r="D8" s="600" t="s">
        <v>91</v>
      </c>
      <c r="E8" s="600" t="s">
        <v>92</v>
      </c>
      <c r="F8" s="600"/>
      <c r="G8" s="600"/>
      <c r="H8" s="600"/>
      <c r="I8" s="600"/>
      <c r="J8" s="600"/>
      <c r="K8" s="600"/>
      <c r="L8" s="600"/>
      <c r="M8" s="689"/>
      <c r="N8" s="690"/>
    </row>
    <row r="9" spans="1:14" s="73" customFormat="1" ht="15.75" customHeight="1">
      <c r="A9" s="665"/>
      <c r="B9" s="666"/>
      <c r="C9" s="635"/>
      <c r="D9" s="600"/>
      <c r="E9" s="600" t="s">
        <v>94</v>
      </c>
      <c r="F9" s="600" t="s">
        <v>7</v>
      </c>
      <c r="G9" s="600"/>
      <c r="H9" s="600"/>
      <c r="I9" s="600"/>
      <c r="J9" s="600" t="s">
        <v>7</v>
      </c>
      <c r="K9" s="600"/>
      <c r="L9" s="600"/>
      <c r="M9" s="689"/>
      <c r="N9" s="690"/>
    </row>
    <row r="10" spans="1:14" s="73" customFormat="1" ht="86.25" customHeight="1">
      <c r="A10" s="667"/>
      <c r="B10" s="668"/>
      <c r="C10" s="635"/>
      <c r="D10" s="600"/>
      <c r="E10" s="600"/>
      <c r="F10" s="104" t="s">
        <v>22</v>
      </c>
      <c r="G10" s="104" t="s">
        <v>24</v>
      </c>
      <c r="H10" s="104" t="s">
        <v>16</v>
      </c>
      <c r="I10" s="104" t="s">
        <v>23</v>
      </c>
      <c r="J10" s="104" t="s">
        <v>15</v>
      </c>
      <c r="K10" s="104" t="s">
        <v>20</v>
      </c>
      <c r="L10" s="104" t="s">
        <v>21</v>
      </c>
      <c r="M10" s="689"/>
      <c r="N10" s="690"/>
    </row>
    <row r="11" spans="1:32" ht="13.5" customHeight="1">
      <c r="A11" s="673" t="s">
        <v>5</v>
      </c>
      <c r="B11" s="674"/>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85" t="s">
        <v>284</v>
      </c>
      <c r="B12" s="686"/>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83" t="s">
        <v>240</v>
      </c>
      <c r="B13" s="684"/>
      <c r="C13" s="139">
        <v>59</v>
      </c>
      <c r="D13" s="139">
        <v>43</v>
      </c>
      <c r="E13" s="139">
        <v>0</v>
      </c>
      <c r="F13" s="139">
        <v>5</v>
      </c>
      <c r="G13" s="139">
        <v>2</v>
      </c>
      <c r="H13" s="139">
        <v>7</v>
      </c>
      <c r="I13" s="139">
        <v>2</v>
      </c>
      <c r="J13" s="139">
        <v>10</v>
      </c>
      <c r="K13" s="139">
        <v>44</v>
      </c>
      <c r="L13" s="139">
        <v>5</v>
      </c>
      <c r="M13" s="136"/>
      <c r="N13" s="137"/>
    </row>
    <row r="14" spans="1:37" s="52" customFormat="1" ht="16.5" customHeight="1">
      <c r="A14" s="671" t="s">
        <v>30</v>
      </c>
      <c r="B14" s="672"/>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09" t="s">
        <v>344</v>
      </c>
      <c r="B29" s="675"/>
      <c r="C29" s="675"/>
      <c r="D29" s="675"/>
      <c r="E29" s="158"/>
      <c r="F29" s="158"/>
      <c r="G29" s="158"/>
      <c r="H29" s="661" t="s">
        <v>294</v>
      </c>
      <c r="I29" s="661"/>
      <c r="J29" s="661"/>
      <c r="K29" s="661"/>
      <c r="L29" s="661"/>
      <c r="M29" s="159"/>
    </row>
    <row r="30" spans="1:12" ht="18.75">
      <c r="A30" s="675"/>
      <c r="B30" s="675"/>
      <c r="C30" s="675"/>
      <c r="D30" s="675"/>
      <c r="E30" s="158"/>
      <c r="F30" s="158"/>
      <c r="G30" s="158"/>
      <c r="H30" s="662" t="s">
        <v>295</v>
      </c>
      <c r="I30" s="662"/>
      <c r="J30" s="662"/>
      <c r="K30" s="662"/>
      <c r="L30" s="662"/>
    </row>
    <row r="31" spans="1:12" s="32" customFormat="1" ht="16.5" customHeight="1">
      <c r="A31" s="606"/>
      <c r="B31" s="606"/>
      <c r="C31" s="606"/>
      <c r="D31" s="606"/>
      <c r="E31" s="160"/>
      <c r="F31" s="160"/>
      <c r="G31" s="160"/>
      <c r="H31" s="607"/>
      <c r="I31" s="607"/>
      <c r="J31" s="607"/>
      <c r="K31" s="607"/>
      <c r="L31" s="607"/>
    </row>
    <row r="32" spans="1:12" ht="18.75">
      <c r="A32" s="89"/>
      <c r="B32" s="606" t="s">
        <v>276</v>
      </c>
      <c r="C32" s="606"/>
      <c r="D32" s="606"/>
      <c r="E32" s="160"/>
      <c r="F32" s="160"/>
      <c r="G32" s="160"/>
      <c r="H32" s="160"/>
      <c r="I32" s="676" t="s">
        <v>276</v>
      </c>
      <c r="J32" s="676"/>
      <c r="K32" s="676"/>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80" t="s">
        <v>229</v>
      </c>
      <c r="B37" s="580"/>
      <c r="C37" s="580"/>
      <c r="D37" s="580"/>
      <c r="E37" s="91"/>
      <c r="F37" s="91"/>
      <c r="G37" s="91"/>
      <c r="H37" s="581" t="s">
        <v>229</v>
      </c>
      <c r="I37" s="581"/>
      <c r="J37" s="581"/>
      <c r="K37" s="581"/>
      <c r="L37" s="581"/>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70" t="s">
        <v>46</v>
      </c>
      <c r="C40" s="670"/>
      <c r="D40" s="670"/>
      <c r="E40" s="670"/>
      <c r="F40" s="670"/>
      <c r="G40" s="670"/>
      <c r="H40" s="670"/>
      <c r="I40" s="670"/>
      <c r="J40" s="670"/>
      <c r="K40" s="670"/>
      <c r="L40" s="670"/>
    </row>
    <row r="41" spans="1:12" ht="16.5" customHeight="1">
      <c r="A41" s="165"/>
      <c r="B41" s="669" t="s">
        <v>48</v>
      </c>
      <c r="C41" s="669"/>
      <c r="D41" s="669"/>
      <c r="E41" s="669"/>
      <c r="F41" s="669"/>
      <c r="G41" s="669"/>
      <c r="H41" s="669"/>
      <c r="I41" s="669"/>
      <c r="J41" s="669"/>
      <c r="K41" s="669"/>
      <c r="L41" s="669"/>
    </row>
    <row r="42" ht="15.75">
      <c r="B42" s="38" t="s">
        <v>47</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5" t="s">
        <v>117</v>
      </c>
      <c r="B1" s="725"/>
      <c r="C1" s="725"/>
      <c r="D1" s="721" t="s">
        <v>298</v>
      </c>
      <c r="E1" s="722"/>
      <c r="F1" s="722"/>
      <c r="G1" s="722"/>
      <c r="H1" s="722"/>
      <c r="I1" s="722"/>
      <c r="J1" s="722"/>
      <c r="K1" s="722"/>
      <c r="L1" s="722"/>
      <c r="M1" s="722"/>
      <c r="N1" s="722"/>
      <c r="O1" s="212"/>
      <c r="P1" s="169" t="s">
        <v>348</v>
      </c>
      <c r="Q1" s="168"/>
      <c r="R1" s="168"/>
      <c r="S1" s="168"/>
      <c r="T1" s="168"/>
      <c r="U1" s="212"/>
    </row>
    <row r="2" spans="1:21" ht="16.5" customHeight="1">
      <c r="A2" s="723" t="s">
        <v>299</v>
      </c>
      <c r="B2" s="723"/>
      <c r="C2" s="723"/>
      <c r="D2" s="722"/>
      <c r="E2" s="722"/>
      <c r="F2" s="722"/>
      <c r="G2" s="722"/>
      <c r="H2" s="722"/>
      <c r="I2" s="722"/>
      <c r="J2" s="722"/>
      <c r="K2" s="722"/>
      <c r="L2" s="722"/>
      <c r="M2" s="722"/>
      <c r="N2" s="722"/>
      <c r="O2" s="213"/>
      <c r="P2" s="714" t="s">
        <v>300</v>
      </c>
      <c r="Q2" s="714"/>
      <c r="R2" s="714"/>
      <c r="S2" s="714"/>
      <c r="T2" s="714"/>
      <c r="U2" s="213"/>
    </row>
    <row r="3" spans="1:21" ht="16.5" customHeight="1">
      <c r="A3" s="694" t="s">
        <v>301</v>
      </c>
      <c r="B3" s="694"/>
      <c r="C3" s="694"/>
      <c r="D3" s="726" t="s">
        <v>302</v>
      </c>
      <c r="E3" s="726"/>
      <c r="F3" s="726"/>
      <c r="G3" s="726"/>
      <c r="H3" s="726"/>
      <c r="I3" s="726"/>
      <c r="J3" s="726"/>
      <c r="K3" s="726"/>
      <c r="L3" s="726"/>
      <c r="M3" s="726"/>
      <c r="N3" s="726"/>
      <c r="O3" s="213"/>
      <c r="P3" s="173" t="s">
        <v>347</v>
      </c>
      <c r="Q3" s="213"/>
      <c r="R3" s="213"/>
      <c r="S3" s="213"/>
      <c r="T3" s="213"/>
      <c r="U3" s="213"/>
    </row>
    <row r="4" spans="1:21" ht="16.5" customHeight="1">
      <c r="A4" s="727" t="s">
        <v>241</v>
      </c>
      <c r="B4" s="727"/>
      <c r="C4" s="727"/>
      <c r="D4" s="703"/>
      <c r="E4" s="703"/>
      <c r="F4" s="703"/>
      <c r="G4" s="703"/>
      <c r="H4" s="703"/>
      <c r="I4" s="703"/>
      <c r="J4" s="703"/>
      <c r="K4" s="703"/>
      <c r="L4" s="703"/>
      <c r="M4" s="703"/>
      <c r="N4" s="703"/>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15" t="s">
        <v>53</v>
      </c>
      <c r="B6" s="716"/>
      <c r="C6" s="699" t="s">
        <v>118</v>
      </c>
      <c r="D6" s="724" t="s">
        <v>119</v>
      </c>
      <c r="E6" s="698"/>
      <c r="F6" s="698"/>
      <c r="G6" s="698"/>
      <c r="H6" s="698"/>
      <c r="I6" s="698"/>
      <c r="J6" s="698"/>
      <c r="K6" s="698"/>
      <c r="L6" s="698"/>
      <c r="M6" s="698"/>
      <c r="N6" s="698"/>
      <c r="O6" s="698"/>
      <c r="P6" s="698"/>
      <c r="Q6" s="698"/>
      <c r="R6" s="698"/>
      <c r="S6" s="698"/>
      <c r="T6" s="699" t="s">
        <v>120</v>
      </c>
      <c r="U6" s="216"/>
    </row>
    <row r="7" spans="1:20" s="218" customFormat="1" ht="12.75" customHeight="1">
      <c r="A7" s="717"/>
      <c r="B7" s="718"/>
      <c r="C7" s="699"/>
      <c r="D7" s="700" t="s">
        <v>115</v>
      </c>
      <c r="E7" s="698" t="s">
        <v>7</v>
      </c>
      <c r="F7" s="698"/>
      <c r="G7" s="698"/>
      <c r="H7" s="698"/>
      <c r="I7" s="698"/>
      <c r="J7" s="698"/>
      <c r="K7" s="698"/>
      <c r="L7" s="698"/>
      <c r="M7" s="698"/>
      <c r="N7" s="698"/>
      <c r="O7" s="698"/>
      <c r="P7" s="698"/>
      <c r="Q7" s="698"/>
      <c r="R7" s="698"/>
      <c r="S7" s="698"/>
      <c r="T7" s="699"/>
    </row>
    <row r="8" spans="1:21" s="218" customFormat="1" ht="43.5" customHeight="1">
      <c r="A8" s="717"/>
      <c r="B8" s="718"/>
      <c r="C8" s="699"/>
      <c r="D8" s="701"/>
      <c r="E8" s="731" t="s">
        <v>121</v>
      </c>
      <c r="F8" s="699"/>
      <c r="G8" s="699"/>
      <c r="H8" s="699" t="s">
        <v>122</v>
      </c>
      <c r="I8" s="699"/>
      <c r="J8" s="699"/>
      <c r="K8" s="699" t="s">
        <v>123</v>
      </c>
      <c r="L8" s="699"/>
      <c r="M8" s="699" t="s">
        <v>124</v>
      </c>
      <c r="N8" s="699"/>
      <c r="O8" s="699"/>
      <c r="P8" s="699" t="s">
        <v>125</v>
      </c>
      <c r="Q8" s="699" t="s">
        <v>126</v>
      </c>
      <c r="R8" s="699" t="s">
        <v>127</v>
      </c>
      <c r="S8" s="728" t="s">
        <v>128</v>
      </c>
      <c r="T8" s="699"/>
      <c r="U8" s="691" t="s">
        <v>304</v>
      </c>
    </row>
    <row r="9" spans="1:21" s="218" customFormat="1" ht="44.25" customHeight="1">
      <c r="A9" s="719"/>
      <c r="B9" s="720"/>
      <c r="C9" s="699"/>
      <c r="D9" s="702"/>
      <c r="E9" s="219" t="s">
        <v>129</v>
      </c>
      <c r="F9" s="215" t="s">
        <v>130</v>
      </c>
      <c r="G9" s="215" t="s">
        <v>305</v>
      </c>
      <c r="H9" s="215" t="s">
        <v>131</v>
      </c>
      <c r="I9" s="215" t="s">
        <v>132</v>
      </c>
      <c r="J9" s="215" t="s">
        <v>133</v>
      </c>
      <c r="K9" s="215" t="s">
        <v>130</v>
      </c>
      <c r="L9" s="215" t="s">
        <v>134</v>
      </c>
      <c r="M9" s="215" t="s">
        <v>135</v>
      </c>
      <c r="N9" s="215" t="s">
        <v>136</v>
      </c>
      <c r="O9" s="215" t="s">
        <v>306</v>
      </c>
      <c r="P9" s="699"/>
      <c r="Q9" s="699"/>
      <c r="R9" s="699"/>
      <c r="S9" s="728"/>
      <c r="T9" s="699"/>
      <c r="U9" s="692"/>
    </row>
    <row r="10" spans="1:21" s="222" customFormat="1" ht="15.75" customHeight="1">
      <c r="A10" s="695" t="s">
        <v>6</v>
      </c>
      <c r="B10" s="696"/>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92"/>
    </row>
    <row r="11" spans="1:21" s="222" customFormat="1" ht="15.75" customHeight="1">
      <c r="A11" s="729" t="s">
        <v>284</v>
      </c>
      <c r="B11" s="730"/>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93"/>
    </row>
    <row r="12" spans="1:21" s="222" customFormat="1" ht="15.75" customHeight="1">
      <c r="A12" s="705" t="s">
        <v>285</v>
      </c>
      <c r="B12" s="706"/>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1" t="s">
        <v>30</v>
      </c>
      <c r="B13" s="712"/>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97" t="s">
        <v>272</v>
      </c>
      <c r="C28" s="697"/>
      <c r="D28" s="697"/>
      <c r="E28" s="697"/>
      <c r="F28" s="181"/>
      <c r="G28" s="181"/>
      <c r="H28" s="181"/>
      <c r="I28" s="181"/>
      <c r="J28" s="181"/>
      <c r="K28" s="181" t="s">
        <v>137</v>
      </c>
      <c r="L28" s="182"/>
      <c r="M28" s="704" t="s">
        <v>307</v>
      </c>
      <c r="N28" s="704"/>
      <c r="O28" s="704"/>
      <c r="P28" s="704"/>
      <c r="Q28" s="704"/>
      <c r="R28" s="704"/>
      <c r="S28" s="704"/>
      <c r="T28" s="704"/>
    </row>
    <row r="29" spans="1:20" s="233" customFormat="1" ht="18.75" customHeight="1">
      <c r="A29" s="232"/>
      <c r="B29" s="710" t="s">
        <v>138</v>
      </c>
      <c r="C29" s="710"/>
      <c r="D29" s="710"/>
      <c r="E29" s="234"/>
      <c r="F29" s="183"/>
      <c r="G29" s="183"/>
      <c r="H29" s="183"/>
      <c r="I29" s="183"/>
      <c r="J29" s="183"/>
      <c r="K29" s="183"/>
      <c r="L29" s="182"/>
      <c r="M29" s="713" t="s">
        <v>296</v>
      </c>
      <c r="N29" s="713"/>
      <c r="O29" s="713"/>
      <c r="P29" s="713"/>
      <c r="Q29" s="713"/>
      <c r="R29" s="713"/>
      <c r="S29" s="713"/>
      <c r="T29" s="713"/>
    </row>
    <row r="30" spans="1:20" s="233" customFormat="1" ht="18.75">
      <c r="A30" s="184"/>
      <c r="B30" s="707"/>
      <c r="C30" s="707"/>
      <c r="D30" s="707"/>
      <c r="E30" s="186"/>
      <c r="F30" s="186"/>
      <c r="G30" s="186"/>
      <c r="H30" s="186"/>
      <c r="I30" s="186"/>
      <c r="J30" s="186"/>
      <c r="K30" s="186"/>
      <c r="L30" s="186"/>
      <c r="M30" s="708"/>
      <c r="N30" s="708"/>
      <c r="O30" s="708"/>
      <c r="P30" s="708"/>
      <c r="Q30" s="708"/>
      <c r="R30" s="708"/>
      <c r="S30" s="708"/>
      <c r="T30" s="708"/>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09" t="s">
        <v>276</v>
      </c>
      <c r="C36" s="709"/>
      <c r="D36" s="709"/>
      <c r="E36" s="236"/>
      <c r="F36" s="236"/>
      <c r="G36" s="236"/>
      <c r="H36" s="236"/>
      <c r="I36" s="236"/>
      <c r="J36" s="236"/>
      <c r="K36" s="236"/>
      <c r="L36" s="236"/>
      <c r="M36" s="236"/>
      <c r="N36" s="709" t="s">
        <v>276</v>
      </c>
      <c r="O36" s="709"/>
      <c r="P36" s="709"/>
      <c r="Q36" s="709"/>
      <c r="R36" s="709"/>
      <c r="S36" s="709"/>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80" t="s">
        <v>229</v>
      </c>
      <c r="C38" s="580"/>
      <c r="D38" s="580"/>
      <c r="E38" s="210"/>
      <c r="F38" s="210"/>
      <c r="G38" s="210"/>
      <c r="H38" s="210"/>
      <c r="I38" s="182"/>
      <c r="J38" s="182"/>
      <c r="K38" s="182"/>
      <c r="L38" s="182"/>
      <c r="M38" s="581" t="s">
        <v>230</v>
      </c>
      <c r="N38" s="581"/>
      <c r="O38" s="581"/>
      <c r="P38" s="581"/>
      <c r="Q38" s="581"/>
      <c r="R38" s="581"/>
      <c r="S38" s="581"/>
      <c r="T38" s="581"/>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55" t="s">
        <v>143</v>
      </c>
      <c r="B1" s="755"/>
      <c r="C1" s="755"/>
      <c r="D1" s="238"/>
      <c r="E1" s="760" t="s">
        <v>144</v>
      </c>
      <c r="F1" s="760"/>
      <c r="G1" s="760"/>
      <c r="H1" s="760"/>
      <c r="I1" s="760"/>
      <c r="J1" s="760"/>
      <c r="K1" s="760"/>
      <c r="L1" s="760"/>
      <c r="M1" s="760"/>
      <c r="N1" s="760"/>
      <c r="O1" s="191"/>
      <c r="P1" s="769" t="s">
        <v>346</v>
      </c>
      <c r="Q1" s="769"/>
      <c r="R1" s="769"/>
      <c r="S1" s="769"/>
      <c r="T1" s="769"/>
    </row>
    <row r="2" spans="1:20" ht="15.75" customHeight="1">
      <c r="A2" s="756" t="s">
        <v>308</v>
      </c>
      <c r="B2" s="756"/>
      <c r="C2" s="756"/>
      <c r="D2" s="756"/>
      <c r="E2" s="758" t="s">
        <v>145</v>
      </c>
      <c r="F2" s="758"/>
      <c r="G2" s="758"/>
      <c r="H2" s="758"/>
      <c r="I2" s="758"/>
      <c r="J2" s="758"/>
      <c r="K2" s="758"/>
      <c r="L2" s="758"/>
      <c r="M2" s="758"/>
      <c r="N2" s="758"/>
      <c r="O2" s="194"/>
      <c r="P2" s="772" t="s">
        <v>288</v>
      </c>
      <c r="Q2" s="772"/>
      <c r="R2" s="772"/>
      <c r="S2" s="772"/>
      <c r="T2" s="772"/>
    </row>
    <row r="3" spans="1:20" ht="17.25">
      <c r="A3" s="756" t="s">
        <v>239</v>
      </c>
      <c r="B3" s="756"/>
      <c r="C3" s="756"/>
      <c r="D3" s="239"/>
      <c r="E3" s="761" t="s">
        <v>240</v>
      </c>
      <c r="F3" s="761"/>
      <c r="G3" s="761"/>
      <c r="H3" s="761"/>
      <c r="I3" s="761"/>
      <c r="J3" s="761"/>
      <c r="K3" s="761"/>
      <c r="L3" s="761"/>
      <c r="M3" s="761"/>
      <c r="N3" s="761"/>
      <c r="O3" s="194"/>
      <c r="P3" s="773" t="s">
        <v>347</v>
      </c>
      <c r="Q3" s="773"/>
      <c r="R3" s="773"/>
      <c r="S3" s="773"/>
      <c r="T3" s="773"/>
    </row>
    <row r="4" spans="1:20" ht="18.75" customHeight="1">
      <c r="A4" s="757" t="s">
        <v>241</v>
      </c>
      <c r="B4" s="757"/>
      <c r="C4" s="757"/>
      <c r="D4" s="759"/>
      <c r="E4" s="759"/>
      <c r="F4" s="759"/>
      <c r="G4" s="759"/>
      <c r="H4" s="759"/>
      <c r="I4" s="759"/>
      <c r="J4" s="759"/>
      <c r="K4" s="759"/>
      <c r="L4" s="759"/>
      <c r="M4" s="759"/>
      <c r="N4" s="759"/>
      <c r="O4" s="195"/>
      <c r="P4" s="772" t="s">
        <v>280</v>
      </c>
      <c r="Q4" s="773"/>
      <c r="R4" s="773"/>
      <c r="S4" s="773"/>
      <c r="T4" s="773"/>
    </row>
    <row r="5" spans="1:23" ht="15">
      <c r="A5" s="208"/>
      <c r="B5" s="208"/>
      <c r="C5" s="240"/>
      <c r="D5" s="240"/>
      <c r="E5" s="208"/>
      <c r="F5" s="208"/>
      <c r="G5" s="208"/>
      <c r="H5" s="208"/>
      <c r="I5" s="208"/>
      <c r="J5" s="208"/>
      <c r="K5" s="208"/>
      <c r="L5" s="208"/>
      <c r="P5" s="768" t="s">
        <v>303</v>
      </c>
      <c r="Q5" s="768"/>
      <c r="R5" s="768"/>
      <c r="S5" s="768"/>
      <c r="T5" s="768"/>
      <c r="U5" s="241"/>
      <c r="V5" s="241"/>
      <c r="W5" s="241"/>
    </row>
    <row r="6" spans="1:23" ht="29.25" customHeight="1">
      <c r="A6" s="715" t="s">
        <v>53</v>
      </c>
      <c r="B6" s="742"/>
      <c r="C6" s="735" t="s">
        <v>2</v>
      </c>
      <c r="D6" s="774" t="s">
        <v>146</v>
      </c>
      <c r="E6" s="745"/>
      <c r="F6" s="745"/>
      <c r="G6" s="745"/>
      <c r="H6" s="745"/>
      <c r="I6" s="745"/>
      <c r="J6" s="746"/>
      <c r="K6" s="762" t="s">
        <v>147</v>
      </c>
      <c r="L6" s="763"/>
      <c r="M6" s="763"/>
      <c r="N6" s="763"/>
      <c r="O6" s="763"/>
      <c r="P6" s="763"/>
      <c r="Q6" s="763"/>
      <c r="R6" s="763"/>
      <c r="S6" s="763"/>
      <c r="T6" s="764"/>
      <c r="U6" s="242"/>
      <c r="V6" s="243"/>
      <c r="W6" s="243"/>
    </row>
    <row r="7" spans="1:20" ht="19.5" customHeight="1">
      <c r="A7" s="717"/>
      <c r="B7" s="743"/>
      <c r="C7" s="736"/>
      <c r="D7" s="745" t="s">
        <v>7</v>
      </c>
      <c r="E7" s="745"/>
      <c r="F7" s="745"/>
      <c r="G7" s="745"/>
      <c r="H7" s="745"/>
      <c r="I7" s="745"/>
      <c r="J7" s="746"/>
      <c r="K7" s="765"/>
      <c r="L7" s="766"/>
      <c r="M7" s="766"/>
      <c r="N7" s="766"/>
      <c r="O7" s="766"/>
      <c r="P7" s="766"/>
      <c r="Q7" s="766"/>
      <c r="R7" s="766"/>
      <c r="S7" s="766"/>
      <c r="T7" s="767"/>
    </row>
    <row r="8" spans="1:20" ht="33" customHeight="1">
      <c r="A8" s="717"/>
      <c r="B8" s="743"/>
      <c r="C8" s="736"/>
      <c r="D8" s="734" t="s">
        <v>148</v>
      </c>
      <c r="E8" s="741"/>
      <c r="F8" s="738" t="s">
        <v>149</v>
      </c>
      <c r="G8" s="741"/>
      <c r="H8" s="738" t="s">
        <v>150</v>
      </c>
      <c r="I8" s="741"/>
      <c r="J8" s="738" t="s">
        <v>151</v>
      </c>
      <c r="K8" s="771" t="s">
        <v>152</v>
      </c>
      <c r="L8" s="771"/>
      <c r="M8" s="771"/>
      <c r="N8" s="771" t="s">
        <v>153</v>
      </c>
      <c r="O8" s="771"/>
      <c r="P8" s="771"/>
      <c r="Q8" s="738" t="s">
        <v>154</v>
      </c>
      <c r="R8" s="770" t="s">
        <v>155</v>
      </c>
      <c r="S8" s="770" t="s">
        <v>156</v>
      </c>
      <c r="T8" s="738" t="s">
        <v>157</v>
      </c>
    </row>
    <row r="9" spans="1:20" ht="18.75" customHeight="1">
      <c r="A9" s="717"/>
      <c r="B9" s="743"/>
      <c r="C9" s="736"/>
      <c r="D9" s="734" t="s">
        <v>158</v>
      </c>
      <c r="E9" s="738" t="s">
        <v>159</v>
      </c>
      <c r="F9" s="738" t="s">
        <v>158</v>
      </c>
      <c r="G9" s="738" t="s">
        <v>159</v>
      </c>
      <c r="H9" s="738" t="s">
        <v>158</v>
      </c>
      <c r="I9" s="738" t="s">
        <v>160</v>
      </c>
      <c r="J9" s="738"/>
      <c r="K9" s="771"/>
      <c r="L9" s="771"/>
      <c r="M9" s="771"/>
      <c r="N9" s="771"/>
      <c r="O9" s="771"/>
      <c r="P9" s="771"/>
      <c r="Q9" s="738"/>
      <c r="R9" s="770"/>
      <c r="S9" s="770"/>
      <c r="T9" s="738"/>
    </row>
    <row r="10" spans="1:20" ht="23.25" customHeight="1">
      <c r="A10" s="719"/>
      <c r="B10" s="744"/>
      <c r="C10" s="737"/>
      <c r="D10" s="734"/>
      <c r="E10" s="738"/>
      <c r="F10" s="738"/>
      <c r="G10" s="738"/>
      <c r="H10" s="738"/>
      <c r="I10" s="738"/>
      <c r="J10" s="738"/>
      <c r="K10" s="244" t="s">
        <v>161</v>
      </c>
      <c r="L10" s="244" t="s">
        <v>136</v>
      </c>
      <c r="M10" s="244" t="s">
        <v>162</v>
      </c>
      <c r="N10" s="244" t="s">
        <v>161</v>
      </c>
      <c r="O10" s="244" t="s">
        <v>163</v>
      </c>
      <c r="P10" s="244" t="s">
        <v>164</v>
      </c>
      <c r="Q10" s="738"/>
      <c r="R10" s="770"/>
      <c r="S10" s="770"/>
      <c r="T10" s="738"/>
    </row>
    <row r="11" spans="1:32" s="201" customFormat="1" ht="17.25" customHeight="1">
      <c r="A11" s="739" t="s">
        <v>6</v>
      </c>
      <c r="B11" s="740"/>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47" t="s">
        <v>309</v>
      </c>
      <c r="B12" s="74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52" t="s">
        <v>285</v>
      </c>
      <c r="B13" s="753"/>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3" t="s">
        <v>165</v>
      </c>
      <c r="B14" s="734"/>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50" t="s">
        <v>297</v>
      </c>
      <c r="C29" s="750"/>
      <c r="D29" s="750"/>
      <c r="E29" s="750"/>
      <c r="F29" s="258"/>
      <c r="G29" s="258"/>
      <c r="H29" s="258"/>
      <c r="I29" s="258"/>
      <c r="J29" s="258"/>
      <c r="K29" s="258"/>
      <c r="L29" s="206"/>
      <c r="M29" s="749" t="s">
        <v>310</v>
      </c>
      <c r="N29" s="749"/>
      <c r="O29" s="749"/>
      <c r="P29" s="749"/>
      <c r="Q29" s="749"/>
      <c r="R29" s="749"/>
      <c r="S29" s="749"/>
      <c r="T29" s="749"/>
    </row>
    <row r="30" spans="1:20" ht="18.75" customHeight="1">
      <c r="A30" s="202"/>
      <c r="B30" s="751" t="s">
        <v>138</v>
      </c>
      <c r="C30" s="751"/>
      <c r="D30" s="751"/>
      <c r="E30" s="751"/>
      <c r="F30" s="205"/>
      <c r="G30" s="205"/>
      <c r="H30" s="205"/>
      <c r="I30" s="205"/>
      <c r="J30" s="205"/>
      <c r="K30" s="205"/>
      <c r="L30" s="206"/>
      <c r="M30" s="754" t="s">
        <v>139</v>
      </c>
      <c r="N30" s="754"/>
      <c r="O30" s="754"/>
      <c r="P30" s="754"/>
      <c r="Q30" s="754"/>
      <c r="R30" s="754"/>
      <c r="S30" s="754"/>
      <c r="T30" s="754"/>
    </row>
    <row r="31" spans="1:20" ht="18.75">
      <c r="A31" s="208"/>
      <c r="B31" s="707"/>
      <c r="C31" s="707"/>
      <c r="D31" s="707"/>
      <c r="E31" s="707"/>
      <c r="F31" s="209"/>
      <c r="G31" s="209"/>
      <c r="H31" s="209"/>
      <c r="I31" s="209"/>
      <c r="J31" s="209"/>
      <c r="K31" s="209"/>
      <c r="L31" s="209"/>
      <c r="M31" s="708"/>
      <c r="N31" s="708"/>
      <c r="O31" s="708"/>
      <c r="P31" s="708"/>
      <c r="Q31" s="708"/>
      <c r="R31" s="708"/>
      <c r="S31" s="708"/>
      <c r="T31" s="708"/>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2" t="s">
        <v>276</v>
      </c>
      <c r="C33" s="732"/>
      <c r="D33" s="732"/>
      <c r="E33" s="732"/>
      <c r="F33" s="732"/>
      <c r="G33" s="259"/>
      <c r="H33" s="259"/>
      <c r="I33" s="259"/>
      <c r="J33" s="259"/>
      <c r="K33" s="259"/>
      <c r="L33" s="259"/>
      <c r="M33" s="259"/>
      <c r="N33" s="732" t="s">
        <v>276</v>
      </c>
      <c r="O33" s="732"/>
      <c r="P33" s="732"/>
      <c r="Q33" s="732"/>
      <c r="R33" s="732"/>
      <c r="S33" s="732"/>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80" t="s">
        <v>229</v>
      </c>
      <c r="C35" s="580"/>
      <c r="D35" s="580"/>
      <c r="E35" s="580"/>
      <c r="F35" s="210"/>
      <c r="G35" s="210"/>
      <c r="H35" s="210"/>
      <c r="I35" s="182"/>
      <c r="J35" s="182"/>
      <c r="K35" s="182"/>
      <c r="L35" s="182"/>
      <c r="M35" s="581" t="s">
        <v>230</v>
      </c>
      <c r="N35" s="581"/>
      <c r="O35" s="581"/>
      <c r="P35" s="581"/>
      <c r="Q35" s="581"/>
      <c r="R35" s="581"/>
      <c r="S35" s="581"/>
      <c r="T35" s="581"/>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H9:H10"/>
    <mergeCell ref="G9:G10"/>
    <mergeCell ref="I9:I10"/>
    <mergeCell ref="D6:J6"/>
    <mergeCell ref="D9:D10"/>
    <mergeCell ref="F8:G8"/>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8" t="s">
        <v>168</v>
      </c>
      <c r="B1" s="778"/>
      <c r="C1" s="778"/>
      <c r="D1" s="781" t="s">
        <v>349</v>
      </c>
      <c r="E1" s="781"/>
      <c r="F1" s="781"/>
      <c r="G1" s="781"/>
      <c r="H1" s="781"/>
      <c r="I1" s="781"/>
      <c r="J1" s="782" t="s">
        <v>350</v>
      </c>
      <c r="K1" s="783"/>
      <c r="L1" s="783"/>
    </row>
    <row r="2" spans="1:12" ht="34.5" customHeight="1">
      <c r="A2" s="784" t="s">
        <v>311</v>
      </c>
      <c r="B2" s="784"/>
      <c r="C2" s="784"/>
      <c r="D2" s="781"/>
      <c r="E2" s="781"/>
      <c r="F2" s="781"/>
      <c r="G2" s="781"/>
      <c r="H2" s="781"/>
      <c r="I2" s="781"/>
      <c r="J2" s="785" t="s">
        <v>351</v>
      </c>
      <c r="K2" s="786"/>
      <c r="L2" s="786"/>
    </row>
    <row r="3" spans="1:12" ht="15" customHeight="1">
      <c r="A3" s="265" t="s">
        <v>241</v>
      </c>
      <c r="B3" s="174"/>
      <c r="C3" s="787"/>
      <c r="D3" s="787"/>
      <c r="E3" s="787"/>
      <c r="F3" s="787"/>
      <c r="G3" s="787"/>
      <c r="H3" s="787"/>
      <c r="I3" s="787"/>
      <c r="J3" s="779"/>
      <c r="K3" s="780"/>
      <c r="L3" s="780"/>
    </row>
    <row r="4" spans="1:12" ht="15.75" customHeight="1">
      <c r="A4" s="266"/>
      <c r="B4" s="266"/>
      <c r="C4" s="267"/>
      <c r="D4" s="267"/>
      <c r="E4" s="170"/>
      <c r="F4" s="170"/>
      <c r="G4" s="170"/>
      <c r="H4" s="268"/>
      <c r="I4" s="268"/>
      <c r="J4" s="775" t="s">
        <v>169</v>
      </c>
      <c r="K4" s="775"/>
      <c r="L4" s="775"/>
    </row>
    <row r="5" spans="1:12" s="269" customFormat="1" ht="28.5" customHeight="1">
      <c r="A5" s="789" t="s">
        <v>53</v>
      </c>
      <c r="B5" s="789"/>
      <c r="C5" s="699" t="s">
        <v>31</v>
      </c>
      <c r="D5" s="699" t="s">
        <v>170</v>
      </c>
      <c r="E5" s="699"/>
      <c r="F5" s="699"/>
      <c r="G5" s="699"/>
      <c r="H5" s="699" t="s">
        <v>171</v>
      </c>
      <c r="I5" s="699"/>
      <c r="J5" s="699" t="s">
        <v>172</v>
      </c>
      <c r="K5" s="699"/>
      <c r="L5" s="699"/>
    </row>
    <row r="6" spans="1:13" s="269" customFormat="1" ht="80.25" customHeight="1">
      <c r="A6" s="789"/>
      <c r="B6" s="789"/>
      <c r="C6" s="699"/>
      <c r="D6" s="215" t="s">
        <v>173</v>
      </c>
      <c r="E6" s="215" t="s">
        <v>174</v>
      </c>
      <c r="F6" s="215" t="s">
        <v>312</v>
      </c>
      <c r="G6" s="215" t="s">
        <v>175</v>
      </c>
      <c r="H6" s="215" t="s">
        <v>176</v>
      </c>
      <c r="I6" s="215" t="s">
        <v>177</v>
      </c>
      <c r="J6" s="215" t="s">
        <v>178</v>
      </c>
      <c r="K6" s="215" t="s">
        <v>179</v>
      </c>
      <c r="L6" s="215" t="s">
        <v>180</v>
      </c>
      <c r="M6" s="270"/>
    </row>
    <row r="7" spans="1:12" s="271" customFormat="1" ht="16.5" customHeight="1">
      <c r="A7" s="776" t="s">
        <v>6</v>
      </c>
      <c r="B7" s="776"/>
      <c r="C7" s="221">
        <v>1</v>
      </c>
      <c r="D7" s="221">
        <v>2</v>
      </c>
      <c r="E7" s="221">
        <v>3</v>
      </c>
      <c r="F7" s="221">
        <v>4</v>
      </c>
      <c r="G7" s="221">
        <v>5</v>
      </c>
      <c r="H7" s="221">
        <v>6</v>
      </c>
      <c r="I7" s="221">
        <v>7</v>
      </c>
      <c r="J7" s="221">
        <v>8</v>
      </c>
      <c r="K7" s="221">
        <v>9</v>
      </c>
      <c r="L7" s="221">
        <v>10</v>
      </c>
    </row>
    <row r="8" spans="1:12" s="271" customFormat="1" ht="16.5" customHeight="1">
      <c r="A8" s="792" t="s">
        <v>309</v>
      </c>
      <c r="B8" s="793"/>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0" t="s">
        <v>285</v>
      </c>
      <c r="B9" s="791"/>
      <c r="C9" s="224">
        <v>9</v>
      </c>
      <c r="D9" s="224">
        <v>2</v>
      </c>
      <c r="E9" s="224">
        <v>2</v>
      </c>
      <c r="F9" s="224">
        <v>0</v>
      </c>
      <c r="G9" s="224">
        <v>5</v>
      </c>
      <c r="H9" s="224">
        <v>8</v>
      </c>
      <c r="I9" s="224">
        <v>0</v>
      </c>
      <c r="J9" s="224">
        <v>8</v>
      </c>
      <c r="K9" s="224">
        <v>1</v>
      </c>
      <c r="L9" s="224">
        <v>0</v>
      </c>
    </row>
    <row r="10" spans="1:12" s="271" customFormat="1" ht="16.5" customHeight="1">
      <c r="A10" s="777" t="s">
        <v>165</v>
      </c>
      <c r="B10" s="777"/>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97" t="s">
        <v>314</v>
      </c>
      <c r="B25" s="697"/>
      <c r="C25" s="697"/>
      <c r="D25" s="697"/>
      <c r="E25" s="182"/>
      <c r="F25" s="704" t="s">
        <v>272</v>
      </c>
      <c r="G25" s="704"/>
      <c r="H25" s="704"/>
      <c r="I25" s="704"/>
      <c r="J25" s="704"/>
      <c r="K25" s="704"/>
      <c r="L25" s="704"/>
      <c r="AJ25" s="190" t="s">
        <v>270</v>
      </c>
    </row>
    <row r="26" spans="1:44" ht="15" customHeight="1">
      <c r="A26" s="710" t="s">
        <v>138</v>
      </c>
      <c r="B26" s="710"/>
      <c r="C26" s="710"/>
      <c r="D26" s="710"/>
      <c r="E26" s="183"/>
      <c r="F26" s="713" t="s">
        <v>139</v>
      </c>
      <c r="G26" s="713"/>
      <c r="H26" s="713"/>
      <c r="I26" s="713"/>
      <c r="J26" s="713"/>
      <c r="K26" s="713"/>
      <c r="L26" s="713"/>
      <c r="AR26" s="190"/>
    </row>
    <row r="27" spans="1:12" s="170" customFormat="1" ht="18.75">
      <c r="A27" s="707"/>
      <c r="B27" s="707"/>
      <c r="C27" s="707"/>
      <c r="D27" s="707"/>
      <c r="E27" s="182"/>
      <c r="F27" s="708"/>
      <c r="G27" s="708"/>
      <c r="H27" s="708"/>
      <c r="I27" s="708"/>
      <c r="J27" s="708"/>
      <c r="K27" s="708"/>
      <c r="L27" s="708"/>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88" t="s">
        <v>276</v>
      </c>
      <c r="C29" s="788"/>
      <c r="D29" s="182"/>
      <c r="E29" s="182"/>
      <c r="F29" s="182"/>
      <c r="G29" s="182"/>
      <c r="H29" s="788" t="s">
        <v>276</v>
      </c>
      <c r="I29" s="788"/>
      <c r="J29" s="788"/>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80" t="s">
        <v>229</v>
      </c>
      <c r="B37" s="580"/>
      <c r="C37" s="580"/>
      <c r="D37" s="580"/>
      <c r="E37" s="210"/>
      <c r="F37" s="581" t="s">
        <v>230</v>
      </c>
      <c r="G37" s="581"/>
      <c r="H37" s="581"/>
      <c r="I37" s="581"/>
      <c r="J37" s="581"/>
      <c r="K37" s="581"/>
      <c r="L37" s="581"/>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1" t="s">
        <v>186</v>
      </c>
      <c r="B1" s="801"/>
      <c r="C1" s="801"/>
      <c r="D1" s="781" t="s">
        <v>352</v>
      </c>
      <c r="E1" s="781"/>
      <c r="F1" s="781"/>
      <c r="G1" s="781"/>
      <c r="H1" s="781"/>
      <c r="I1" s="170"/>
      <c r="J1" s="171" t="s">
        <v>346</v>
      </c>
      <c r="K1" s="280"/>
      <c r="L1" s="280"/>
    </row>
    <row r="2" spans="1:12" ht="15.75" customHeight="1">
      <c r="A2" s="805" t="s">
        <v>287</v>
      </c>
      <c r="B2" s="805"/>
      <c r="C2" s="805"/>
      <c r="D2" s="781"/>
      <c r="E2" s="781"/>
      <c r="F2" s="781"/>
      <c r="G2" s="781"/>
      <c r="H2" s="781"/>
      <c r="I2" s="170"/>
      <c r="J2" s="281" t="s">
        <v>288</v>
      </c>
      <c r="K2" s="281"/>
      <c r="L2" s="281"/>
    </row>
    <row r="3" spans="1:12" ht="18.75" customHeight="1">
      <c r="A3" s="723" t="s">
        <v>239</v>
      </c>
      <c r="B3" s="723"/>
      <c r="C3" s="723"/>
      <c r="D3" s="167"/>
      <c r="E3" s="167"/>
      <c r="F3" s="167"/>
      <c r="G3" s="167"/>
      <c r="H3" s="167"/>
      <c r="I3" s="170"/>
      <c r="J3" s="174" t="s">
        <v>345</v>
      </c>
      <c r="K3" s="174"/>
      <c r="L3" s="174"/>
    </row>
    <row r="4" spans="1:12" ht="15.75" customHeight="1">
      <c r="A4" s="802" t="s">
        <v>315</v>
      </c>
      <c r="B4" s="802"/>
      <c r="C4" s="802"/>
      <c r="D4" s="800"/>
      <c r="E4" s="800"/>
      <c r="F4" s="800"/>
      <c r="G4" s="800"/>
      <c r="H4" s="800"/>
      <c r="I4" s="170"/>
      <c r="J4" s="282" t="s">
        <v>280</v>
      </c>
      <c r="K4" s="282"/>
      <c r="L4" s="282"/>
    </row>
    <row r="5" spans="1:12" ht="15.75">
      <c r="A5" s="806"/>
      <c r="B5" s="806"/>
      <c r="C5" s="166"/>
      <c r="D5" s="170"/>
      <c r="E5" s="170"/>
      <c r="F5" s="170"/>
      <c r="G5" s="170"/>
      <c r="H5" s="283"/>
      <c r="I5" s="798" t="s">
        <v>316</v>
      </c>
      <c r="J5" s="798"/>
      <c r="K5" s="798"/>
      <c r="L5" s="798"/>
    </row>
    <row r="6" spans="1:12" ht="18.75" customHeight="1">
      <c r="A6" s="715" t="s">
        <v>53</v>
      </c>
      <c r="B6" s="716"/>
      <c r="C6" s="794" t="s">
        <v>187</v>
      </c>
      <c r="D6" s="711" t="s">
        <v>188</v>
      </c>
      <c r="E6" s="799"/>
      <c r="F6" s="712"/>
      <c r="G6" s="711" t="s">
        <v>189</v>
      </c>
      <c r="H6" s="799"/>
      <c r="I6" s="799"/>
      <c r="J6" s="799"/>
      <c r="K6" s="799"/>
      <c r="L6" s="712"/>
    </row>
    <row r="7" spans="1:12" ht="15.75" customHeight="1">
      <c r="A7" s="717"/>
      <c r="B7" s="718"/>
      <c r="C7" s="795"/>
      <c r="D7" s="711" t="s">
        <v>7</v>
      </c>
      <c r="E7" s="799"/>
      <c r="F7" s="712"/>
      <c r="G7" s="794" t="s">
        <v>30</v>
      </c>
      <c r="H7" s="711" t="s">
        <v>7</v>
      </c>
      <c r="I7" s="799"/>
      <c r="J7" s="799"/>
      <c r="K7" s="799"/>
      <c r="L7" s="712"/>
    </row>
    <row r="8" spans="1:12" ht="14.25" customHeight="1">
      <c r="A8" s="717"/>
      <c r="B8" s="718"/>
      <c r="C8" s="795"/>
      <c r="D8" s="794" t="s">
        <v>190</v>
      </c>
      <c r="E8" s="794" t="s">
        <v>191</v>
      </c>
      <c r="F8" s="794" t="s">
        <v>192</v>
      </c>
      <c r="G8" s="795"/>
      <c r="H8" s="794" t="s">
        <v>193</v>
      </c>
      <c r="I8" s="794" t="s">
        <v>194</v>
      </c>
      <c r="J8" s="794" t="s">
        <v>195</v>
      </c>
      <c r="K8" s="794" t="s">
        <v>196</v>
      </c>
      <c r="L8" s="794" t="s">
        <v>197</v>
      </c>
    </row>
    <row r="9" spans="1:12" ht="77.25" customHeight="1">
      <c r="A9" s="719"/>
      <c r="B9" s="720"/>
      <c r="C9" s="796"/>
      <c r="D9" s="796"/>
      <c r="E9" s="796"/>
      <c r="F9" s="796"/>
      <c r="G9" s="796"/>
      <c r="H9" s="796"/>
      <c r="I9" s="796"/>
      <c r="J9" s="796"/>
      <c r="K9" s="796"/>
      <c r="L9" s="796"/>
    </row>
    <row r="10" spans="1:12" s="271" customFormat="1" ht="16.5" customHeight="1">
      <c r="A10" s="807" t="s">
        <v>6</v>
      </c>
      <c r="B10" s="808"/>
      <c r="C10" s="220">
        <v>1</v>
      </c>
      <c r="D10" s="220">
        <v>2</v>
      </c>
      <c r="E10" s="220">
        <v>3</v>
      </c>
      <c r="F10" s="220">
        <v>4</v>
      </c>
      <c r="G10" s="220">
        <v>5</v>
      </c>
      <c r="H10" s="220">
        <v>6</v>
      </c>
      <c r="I10" s="220">
        <v>7</v>
      </c>
      <c r="J10" s="220">
        <v>8</v>
      </c>
      <c r="K10" s="221" t="s">
        <v>59</v>
      </c>
      <c r="L10" s="221" t="s">
        <v>79</v>
      </c>
    </row>
    <row r="11" spans="1:12" s="271" customFormat="1" ht="16.5" customHeight="1">
      <c r="A11" s="811" t="s">
        <v>284</v>
      </c>
      <c r="B11" s="812"/>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09" t="s">
        <v>285</v>
      </c>
      <c r="B12" s="810"/>
      <c r="C12" s="224">
        <v>12</v>
      </c>
      <c r="D12" s="224">
        <v>0</v>
      </c>
      <c r="E12" s="224">
        <v>1</v>
      </c>
      <c r="F12" s="224">
        <v>11</v>
      </c>
      <c r="G12" s="224">
        <v>10</v>
      </c>
      <c r="H12" s="224">
        <v>0</v>
      </c>
      <c r="I12" s="224">
        <v>0</v>
      </c>
      <c r="J12" s="224">
        <v>0</v>
      </c>
      <c r="K12" s="224">
        <v>6</v>
      </c>
      <c r="L12" s="224">
        <v>4</v>
      </c>
    </row>
    <row r="13" spans="1:32" s="271" customFormat="1" ht="16.5" customHeight="1">
      <c r="A13" s="803" t="s">
        <v>30</v>
      </c>
      <c r="B13" s="804"/>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97" t="s">
        <v>272</v>
      </c>
      <c r="B28" s="697"/>
      <c r="C28" s="697"/>
      <c r="D28" s="697"/>
      <c r="E28" s="697"/>
      <c r="F28" s="182"/>
      <c r="G28" s="181"/>
      <c r="H28" s="294" t="s">
        <v>317</v>
      </c>
      <c r="I28" s="295"/>
      <c r="J28" s="295"/>
      <c r="K28" s="295"/>
      <c r="L28" s="295"/>
      <c r="AG28" s="233" t="s">
        <v>273</v>
      </c>
      <c r="AI28" s="190">
        <f>82/88</f>
        <v>0.9318181818181818</v>
      </c>
    </row>
    <row r="29" spans="1:12" ht="15" customHeight="1">
      <c r="A29" s="710" t="s">
        <v>4</v>
      </c>
      <c r="B29" s="710"/>
      <c r="C29" s="710"/>
      <c r="D29" s="710"/>
      <c r="E29" s="710"/>
      <c r="F29" s="182"/>
      <c r="G29" s="183"/>
      <c r="H29" s="713" t="s">
        <v>139</v>
      </c>
      <c r="I29" s="713"/>
      <c r="J29" s="713"/>
      <c r="K29" s="713"/>
      <c r="L29" s="713"/>
    </row>
    <row r="30" spans="1:14" s="170" customFormat="1" ht="18.75">
      <c r="A30" s="707"/>
      <c r="B30" s="707"/>
      <c r="C30" s="707"/>
      <c r="D30" s="707"/>
      <c r="E30" s="707"/>
      <c r="F30" s="296"/>
      <c r="G30" s="182"/>
      <c r="H30" s="708"/>
      <c r="I30" s="708"/>
      <c r="J30" s="708"/>
      <c r="K30" s="708"/>
      <c r="L30" s="708"/>
      <c r="M30" s="297"/>
      <c r="N30" s="297"/>
    </row>
    <row r="31" spans="1:12" ht="18">
      <c r="A31" s="182"/>
      <c r="B31" s="182"/>
      <c r="C31" s="182"/>
      <c r="D31" s="182"/>
      <c r="E31" s="182"/>
      <c r="F31" s="182"/>
      <c r="G31" s="182"/>
      <c r="H31" s="182"/>
      <c r="I31" s="182"/>
      <c r="J31" s="182"/>
      <c r="K31" s="182"/>
      <c r="L31" s="298"/>
    </row>
    <row r="32" spans="1:12" ht="18">
      <c r="A32" s="182"/>
      <c r="B32" s="788" t="s">
        <v>276</v>
      </c>
      <c r="C32" s="788"/>
      <c r="D32" s="788"/>
      <c r="E32" s="788"/>
      <c r="F32" s="182"/>
      <c r="G32" s="182"/>
      <c r="H32" s="182"/>
      <c r="I32" s="788" t="s">
        <v>276</v>
      </c>
      <c r="J32" s="788"/>
      <c r="K32" s="788"/>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7" t="s">
        <v>198</v>
      </c>
      <c r="C40" s="797"/>
      <c r="D40" s="797"/>
      <c r="E40" s="797"/>
      <c r="F40" s="797"/>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80" t="s">
        <v>318</v>
      </c>
      <c r="B43" s="580"/>
      <c r="C43" s="580"/>
      <c r="D43" s="580"/>
      <c r="E43" s="580"/>
      <c r="F43" s="182"/>
      <c r="G43" s="301"/>
      <c r="H43" s="581" t="s">
        <v>230</v>
      </c>
      <c r="I43" s="581"/>
      <c r="J43" s="581"/>
      <c r="K43" s="581"/>
      <c r="L43" s="581"/>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5" t="s">
        <v>201</v>
      </c>
      <c r="B1" s="725"/>
      <c r="C1" s="725"/>
      <c r="D1" s="725"/>
      <c r="E1" s="306"/>
      <c r="F1" s="721" t="s">
        <v>353</v>
      </c>
      <c r="G1" s="721"/>
      <c r="H1" s="721"/>
      <c r="I1" s="721"/>
      <c r="J1" s="721"/>
      <c r="K1" s="721"/>
      <c r="L1" s="721"/>
      <c r="M1" s="721"/>
      <c r="N1" s="721"/>
      <c r="O1" s="721"/>
      <c r="P1" s="307" t="s">
        <v>277</v>
      </c>
      <c r="Q1" s="308"/>
      <c r="R1" s="308"/>
      <c r="S1" s="308"/>
      <c r="T1" s="308"/>
    </row>
    <row r="2" spans="1:20" s="177" customFormat="1" ht="20.25" customHeight="1">
      <c r="A2" s="823" t="s">
        <v>287</v>
      </c>
      <c r="B2" s="823"/>
      <c r="C2" s="823"/>
      <c r="D2" s="823"/>
      <c r="E2" s="306"/>
      <c r="F2" s="721"/>
      <c r="G2" s="721"/>
      <c r="H2" s="721"/>
      <c r="I2" s="721"/>
      <c r="J2" s="721"/>
      <c r="K2" s="721"/>
      <c r="L2" s="721"/>
      <c r="M2" s="721"/>
      <c r="N2" s="721"/>
      <c r="O2" s="721"/>
      <c r="P2" s="308" t="s">
        <v>319</v>
      </c>
      <c r="Q2" s="308"/>
      <c r="R2" s="308"/>
      <c r="S2" s="308"/>
      <c r="T2" s="308"/>
    </row>
    <row r="3" spans="1:20" s="177" customFormat="1" ht="15" customHeight="1">
      <c r="A3" s="823" t="s">
        <v>239</v>
      </c>
      <c r="B3" s="823"/>
      <c r="C3" s="823"/>
      <c r="D3" s="823"/>
      <c r="E3" s="306"/>
      <c r="F3" s="721"/>
      <c r="G3" s="721"/>
      <c r="H3" s="721"/>
      <c r="I3" s="721"/>
      <c r="J3" s="721"/>
      <c r="K3" s="721"/>
      <c r="L3" s="721"/>
      <c r="M3" s="721"/>
      <c r="N3" s="721"/>
      <c r="O3" s="721"/>
      <c r="P3" s="307" t="s">
        <v>345</v>
      </c>
      <c r="Q3" s="307"/>
      <c r="R3" s="307"/>
      <c r="S3" s="309"/>
      <c r="T3" s="309"/>
    </row>
    <row r="4" spans="1:20" s="177" customFormat="1" ht="15.75" customHeight="1">
      <c r="A4" s="824" t="s">
        <v>320</v>
      </c>
      <c r="B4" s="824"/>
      <c r="C4" s="824"/>
      <c r="D4" s="824"/>
      <c r="E4" s="307"/>
      <c r="F4" s="721"/>
      <c r="G4" s="721"/>
      <c r="H4" s="721"/>
      <c r="I4" s="721"/>
      <c r="J4" s="721"/>
      <c r="K4" s="721"/>
      <c r="L4" s="721"/>
      <c r="M4" s="721"/>
      <c r="N4" s="721"/>
      <c r="O4" s="721"/>
      <c r="P4" s="308" t="s">
        <v>289</v>
      </c>
      <c r="Q4" s="307"/>
      <c r="R4" s="307"/>
      <c r="S4" s="309"/>
      <c r="T4" s="309"/>
    </row>
    <row r="5" spans="1:18" s="177" customFormat="1" ht="24" customHeight="1">
      <c r="A5" s="310"/>
      <c r="B5" s="310"/>
      <c r="C5" s="310"/>
      <c r="F5" s="825"/>
      <c r="G5" s="825"/>
      <c r="H5" s="825"/>
      <c r="I5" s="825"/>
      <c r="J5" s="825"/>
      <c r="K5" s="825"/>
      <c r="L5" s="825"/>
      <c r="M5" s="825"/>
      <c r="N5" s="825"/>
      <c r="O5" s="825"/>
      <c r="P5" s="311" t="s">
        <v>321</v>
      </c>
      <c r="Q5" s="312"/>
      <c r="R5" s="312"/>
    </row>
    <row r="6" spans="1:20" s="313" customFormat="1" ht="21.75" customHeight="1">
      <c r="A6" s="816" t="s">
        <v>53</v>
      </c>
      <c r="B6" s="817"/>
      <c r="C6" s="728" t="s">
        <v>31</v>
      </c>
      <c r="D6" s="731"/>
      <c r="E6" s="728" t="s">
        <v>7</v>
      </c>
      <c r="F6" s="813"/>
      <c r="G6" s="813"/>
      <c r="H6" s="813"/>
      <c r="I6" s="813"/>
      <c r="J6" s="813"/>
      <c r="K6" s="813"/>
      <c r="L6" s="813"/>
      <c r="M6" s="813"/>
      <c r="N6" s="813"/>
      <c r="O6" s="813"/>
      <c r="P6" s="813"/>
      <c r="Q6" s="813"/>
      <c r="R6" s="813"/>
      <c r="S6" s="813"/>
      <c r="T6" s="731"/>
    </row>
    <row r="7" spans="1:21" s="313" customFormat="1" ht="22.5" customHeight="1">
      <c r="A7" s="818"/>
      <c r="B7" s="819"/>
      <c r="C7" s="700" t="s">
        <v>322</v>
      </c>
      <c r="D7" s="700" t="s">
        <v>323</v>
      </c>
      <c r="E7" s="728" t="s">
        <v>202</v>
      </c>
      <c r="F7" s="830"/>
      <c r="G7" s="830"/>
      <c r="H7" s="830"/>
      <c r="I7" s="830"/>
      <c r="J7" s="830"/>
      <c r="K7" s="830"/>
      <c r="L7" s="831"/>
      <c r="M7" s="728" t="s">
        <v>324</v>
      </c>
      <c r="N7" s="813"/>
      <c r="O7" s="813"/>
      <c r="P7" s="813"/>
      <c r="Q7" s="813"/>
      <c r="R7" s="813"/>
      <c r="S7" s="813"/>
      <c r="T7" s="731"/>
      <c r="U7" s="314"/>
    </row>
    <row r="8" spans="1:20" s="313" customFormat="1" ht="42.75" customHeight="1">
      <c r="A8" s="818"/>
      <c r="B8" s="819"/>
      <c r="C8" s="701"/>
      <c r="D8" s="701"/>
      <c r="E8" s="699" t="s">
        <v>325</v>
      </c>
      <c r="F8" s="699"/>
      <c r="G8" s="728" t="s">
        <v>326</v>
      </c>
      <c r="H8" s="813"/>
      <c r="I8" s="813"/>
      <c r="J8" s="813"/>
      <c r="K8" s="813"/>
      <c r="L8" s="731"/>
      <c r="M8" s="699" t="s">
        <v>327</v>
      </c>
      <c r="N8" s="699"/>
      <c r="O8" s="728" t="s">
        <v>326</v>
      </c>
      <c r="P8" s="813"/>
      <c r="Q8" s="813"/>
      <c r="R8" s="813"/>
      <c r="S8" s="813"/>
      <c r="T8" s="731"/>
    </row>
    <row r="9" spans="1:20" s="313" customFormat="1" ht="35.25" customHeight="1">
      <c r="A9" s="818"/>
      <c r="B9" s="819"/>
      <c r="C9" s="701"/>
      <c r="D9" s="701"/>
      <c r="E9" s="700" t="s">
        <v>203</v>
      </c>
      <c r="F9" s="700" t="s">
        <v>204</v>
      </c>
      <c r="G9" s="820" t="s">
        <v>205</v>
      </c>
      <c r="H9" s="821"/>
      <c r="I9" s="820" t="s">
        <v>206</v>
      </c>
      <c r="J9" s="821"/>
      <c r="K9" s="820" t="s">
        <v>207</v>
      </c>
      <c r="L9" s="821"/>
      <c r="M9" s="700" t="s">
        <v>208</v>
      </c>
      <c r="N9" s="700" t="s">
        <v>204</v>
      </c>
      <c r="O9" s="820" t="s">
        <v>205</v>
      </c>
      <c r="P9" s="821"/>
      <c r="Q9" s="820" t="s">
        <v>209</v>
      </c>
      <c r="R9" s="821"/>
      <c r="S9" s="820" t="s">
        <v>210</v>
      </c>
      <c r="T9" s="821"/>
    </row>
    <row r="10" spans="1:20" s="313" customFormat="1" ht="25.5" customHeight="1">
      <c r="A10" s="820"/>
      <c r="B10" s="821"/>
      <c r="C10" s="702"/>
      <c r="D10" s="702"/>
      <c r="E10" s="702"/>
      <c r="F10" s="702"/>
      <c r="G10" s="215" t="s">
        <v>208</v>
      </c>
      <c r="H10" s="215" t="s">
        <v>204</v>
      </c>
      <c r="I10" s="219" t="s">
        <v>208</v>
      </c>
      <c r="J10" s="215" t="s">
        <v>204</v>
      </c>
      <c r="K10" s="219" t="s">
        <v>208</v>
      </c>
      <c r="L10" s="215" t="s">
        <v>204</v>
      </c>
      <c r="M10" s="702"/>
      <c r="N10" s="702"/>
      <c r="O10" s="215" t="s">
        <v>208</v>
      </c>
      <c r="P10" s="215" t="s">
        <v>204</v>
      </c>
      <c r="Q10" s="219" t="s">
        <v>208</v>
      </c>
      <c r="R10" s="215" t="s">
        <v>204</v>
      </c>
      <c r="S10" s="219" t="s">
        <v>208</v>
      </c>
      <c r="T10" s="215" t="s">
        <v>204</v>
      </c>
    </row>
    <row r="11" spans="1:32" s="222" customFormat="1" ht="12.75">
      <c r="A11" s="828" t="s">
        <v>6</v>
      </c>
      <c r="B11" s="829"/>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32" t="s">
        <v>309</v>
      </c>
      <c r="B12" s="833"/>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6" t="s">
        <v>285</v>
      </c>
      <c r="B13" s="827"/>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14" t="s">
        <v>30</v>
      </c>
      <c r="B14" s="815"/>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97" t="s">
        <v>272</v>
      </c>
      <c r="C29" s="697"/>
      <c r="D29" s="697"/>
      <c r="E29" s="697"/>
      <c r="F29" s="697"/>
      <c r="G29" s="697"/>
      <c r="H29" s="181"/>
      <c r="I29" s="181"/>
      <c r="J29" s="182"/>
      <c r="K29" s="181"/>
      <c r="L29" s="704" t="s">
        <v>272</v>
      </c>
      <c r="M29" s="704"/>
      <c r="N29" s="704"/>
      <c r="O29" s="704"/>
      <c r="P29" s="704"/>
      <c r="Q29" s="704"/>
      <c r="R29" s="704"/>
      <c r="S29" s="704"/>
      <c r="T29" s="704"/>
    </row>
    <row r="30" spans="1:20" ht="15" customHeight="1">
      <c r="A30" s="180"/>
      <c r="B30" s="710" t="s">
        <v>35</v>
      </c>
      <c r="C30" s="710"/>
      <c r="D30" s="710"/>
      <c r="E30" s="710"/>
      <c r="F30" s="710"/>
      <c r="G30" s="710"/>
      <c r="H30" s="183"/>
      <c r="I30" s="183"/>
      <c r="J30" s="183"/>
      <c r="K30" s="183"/>
      <c r="L30" s="713" t="s">
        <v>228</v>
      </c>
      <c r="M30" s="713"/>
      <c r="N30" s="713"/>
      <c r="O30" s="713"/>
      <c r="P30" s="713"/>
      <c r="Q30" s="713"/>
      <c r="R30" s="713"/>
      <c r="S30" s="713"/>
      <c r="T30" s="713"/>
    </row>
    <row r="31" spans="1:20" s="320" customFormat="1" ht="18.75">
      <c r="A31" s="318"/>
      <c r="B31" s="707"/>
      <c r="C31" s="707"/>
      <c r="D31" s="707"/>
      <c r="E31" s="707"/>
      <c r="F31" s="707"/>
      <c r="G31" s="319"/>
      <c r="H31" s="319"/>
      <c r="I31" s="319"/>
      <c r="J31" s="319"/>
      <c r="K31" s="319"/>
      <c r="L31" s="708"/>
      <c r="M31" s="708"/>
      <c r="N31" s="708"/>
      <c r="O31" s="708"/>
      <c r="P31" s="708"/>
      <c r="Q31" s="708"/>
      <c r="R31" s="708"/>
      <c r="S31" s="708"/>
      <c r="T31" s="708"/>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2" t="s">
        <v>276</v>
      </c>
      <c r="C33" s="822"/>
      <c r="D33" s="822"/>
      <c r="E33" s="822"/>
      <c r="F33" s="822"/>
      <c r="G33" s="321"/>
      <c r="H33" s="321"/>
      <c r="I33" s="321"/>
      <c r="J33" s="321"/>
      <c r="K33" s="321"/>
      <c r="L33" s="321"/>
      <c r="M33" s="321"/>
      <c r="N33" s="321"/>
      <c r="O33" s="822" t="s">
        <v>276</v>
      </c>
      <c r="P33" s="822"/>
      <c r="Q33" s="822"/>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80" t="s">
        <v>229</v>
      </c>
      <c r="C39" s="580"/>
      <c r="D39" s="580"/>
      <c r="E39" s="580"/>
      <c r="F39" s="580"/>
      <c r="G39" s="580"/>
      <c r="H39" s="182"/>
      <c r="I39" s="182"/>
      <c r="J39" s="182"/>
      <c r="K39" s="182"/>
      <c r="L39" s="581" t="s">
        <v>230</v>
      </c>
      <c r="M39" s="581"/>
      <c r="N39" s="581"/>
      <c r="O39" s="581"/>
      <c r="P39" s="581"/>
      <c r="Q39" s="581"/>
      <c r="R39" s="581"/>
      <c r="S39" s="581"/>
      <c r="T39" s="581"/>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O33:Q33"/>
    <mergeCell ref="A12:B12"/>
    <mergeCell ref="G9:H9"/>
    <mergeCell ref="K9:L9"/>
    <mergeCell ref="O9:P9"/>
    <mergeCell ref="L30:T30"/>
    <mergeCell ref="S9:T9"/>
    <mergeCell ref="E9:E10"/>
    <mergeCell ref="A1:D1"/>
    <mergeCell ref="A3:D3"/>
    <mergeCell ref="A4:D4"/>
    <mergeCell ref="F5:O5"/>
    <mergeCell ref="A13:B13"/>
    <mergeCell ref="A11:B11"/>
    <mergeCell ref="E7:L7"/>
    <mergeCell ref="M9:M10"/>
    <mergeCell ref="I9:J9"/>
    <mergeCell ref="E6:T6"/>
    <mergeCell ref="C6:D6"/>
    <mergeCell ref="F9:F10"/>
    <mergeCell ref="C7:C10"/>
    <mergeCell ref="D7:D10"/>
    <mergeCell ref="A2:D2"/>
    <mergeCell ref="Q9:R9"/>
    <mergeCell ref="L39:T39"/>
    <mergeCell ref="B29:G29"/>
    <mergeCell ref="A6:B10"/>
    <mergeCell ref="B39:G39"/>
    <mergeCell ref="L31:T31"/>
    <mergeCell ref="F1:O4"/>
    <mergeCell ref="G8:L8"/>
    <mergeCell ref="B33:F33"/>
    <mergeCell ref="B31:F31"/>
    <mergeCell ref="E8:F8"/>
    <mergeCell ref="O8:T8"/>
    <mergeCell ref="B30:G30"/>
    <mergeCell ref="N9:N10"/>
    <mergeCell ref="M8:N8"/>
    <mergeCell ref="M7:T7"/>
    <mergeCell ref="A14:B14"/>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2018-06-05T00:17:42Z</cp:lastPrinted>
  <dcterms:created xsi:type="dcterms:W3CDTF">2004-03-07T02:36:29Z</dcterms:created>
  <dcterms:modified xsi:type="dcterms:W3CDTF">2018-06-05T00:17:47Z</dcterms:modified>
  <cp:category/>
  <cp:version/>
  <cp:contentType/>
  <cp:contentStatus/>
</cp:coreProperties>
</file>